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0" yWindow="15" windowWidth="20730" windowHeight="11760" tabRatio="592"/>
  </bookViews>
  <sheets>
    <sheet name="Paměť obsahu plochy obrazců" sheetId="19" r:id="rId1"/>
    <sheet name="Paměť objemu těles" sheetId="21" r:id="rId2"/>
    <sheet name="Paměť hmotnosti těles" sheetId="22" r:id="rId3"/>
    <sheet name="Paměť povrchu těles" sheetId="20" r:id="rId4"/>
  </sheets>
  <calcPr calcId="145621"/>
</workbook>
</file>

<file path=xl/calcChain.xml><?xml version="1.0" encoding="utf-8"?>
<calcChain xmlns="http://schemas.openxmlformats.org/spreadsheetml/2006/main">
  <c r="Y20" i="21" l="1"/>
  <c r="AD20" i="21" s="1"/>
  <c r="W62" i="22"/>
  <c r="AA62" i="22" s="1"/>
  <c r="AF62" i="22" s="1"/>
  <c r="W22" i="22"/>
  <c r="AA22" i="22" s="1"/>
  <c r="AF22" i="22" s="1"/>
  <c r="U63" i="21"/>
  <c r="Y63" i="21" s="1"/>
  <c r="AD63" i="21" s="1"/>
  <c r="V34" i="22"/>
  <c r="X34" i="22" s="1"/>
  <c r="U82" i="21"/>
  <c r="V82" i="21"/>
  <c r="T34" i="21"/>
  <c r="U34" i="21" s="1"/>
  <c r="U22" i="21"/>
  <c r="Y22" i="21" s="1"/>
  <c r="AD22" i="21" s="1"/>
  <c r="J61" i="22"/>
  <c r="AA61" i="22" s="1"/>
  <c r="AF61" i="22" s="1"/>
  <c r="H62" i="21"/>
  <c r="Y62" i="21" s="1"/>
  <c r="AD62" i="21" s="1"/>
  <c r="H11" i="21"/>
  <c r="Y11" i="21" s="1"/>
  <c r="AD11" i="21" s="1"/>
  <c r="N10" i="22"/>
  <c r="K10" i="22" s="1"/>
  <c r="AA10" i="22" s="1"/>
  <c r="AF10" i="22" s="1"/>
  <c r="L77" i="21"/>
  <c r="I77" i="21" s="1"/>
  <c r="Y77" i="21" s="1"/>
  <c r="AD77" i="21" s="1"/>
  <c r="Y48" i="21"/>
  <c r="AD48" i="21" s="1"/>
  <c r="L10" i="21"/>
  <c r="I10" i="21" s="1"/>
  <c r="Y10" i="21" s="1"/>
  <c r="AD10" i="21" s="1"/>
  <c r="W38" i="22"/>
  <c r="AA38" i="22" s="1"/>
  <c r="AF38" i="22" s="1"/>
  <c r="V21" i="22"/>
  <c r="W21" i="22" s="1"/>
  <c r="AA21" i="22" s="1"/>
  <c r="AF21" i="22" s="1"/>
  <c r="U38" i="21"/>
  <c r="Y38" i="21" s="1"/>
  <c r="AD38" i="21" s="1"/>
  <c r="T81" i="21"/>
  <c r="U81" i="21" s="1"/>
  <c r="Y81" i="21" s="1"/>
  <c r="AD81" i="21" s="1"/>
  <c r="T53" i="21"/>
  <c r="U53" i="21" s="1"/>
  <c r="Y53" i="21" s="1"/>
  <c r="AD53" i="21" s="1"/>
  <c r="T21" i="21"/>
  <c r="U21" i="21" s="1"/>
  <c r="Y21" i="21" s="1"/>
  <c r="AD21" i="21" s="1"/>
  <c r="L37" i="22"/>
  <c r="AA37" i="22" s="1"/>
  <c r="AF37" i="22" s="1"/>
  <c r="AA23" i="22"/>
  <c r="AF23" i="22" s="1"/>
  <c r="J37" i="21"/>
  <c r="Y37" i="21" s="1"/>
  <c r="AD37" i="21" s="1"/>
  <c r="Y25" i="21"/>
  <c r="AD25" i="21" s="1"/>
  <c r="F52" i="22"/>
  <c r="R23" i="21"/>
  <c r="T52" i="22"/>
  <c r="S78" i="21"/>
  <c r="R78" i="21" s="1"/>
  <c r="Y78" i="21" s="1"/>
  <c r="AD78" i="21" s="1"/>
  <c r="R52" i="21"/>
  <c r="D52" i="21"/>
  <c r="D23" i="21"/>
  <c r="AA65" i="22"/>
  <c r="AF65" i="22" s="1"/>
  <c r="AA24" i="22"/>
  <c r="AF24" i="22" s="1"/>
  <c r="AA6" i="22"/>
  <c r="AF6" i="22" s="1"/>
  <c r="Y66" i="21"/>
  <c r="AD66" i="21" s="1"/>
  <c r="Y39" i="21"/>
  <c r="AD39" i="21" s="1"/>
  <c r="Y24" i="21"/>
  <c r="AD24" i="21" s="1"/>
  <c r="Y6" i="21"/>
  <c r="AD6" i="21" s="1"/>
  <c r="AA50" i="22"/>
  <c r="AF50" i="22" s="1"/>
  <c r="V7" i="22"/>
  <c r="AA7" i="22" s="1"/>
  <c r="AF7" i="22" s="1"/>
  <c r="Y65" i="21"/>
  <c r="AD65" i="21" s="1"/>
  <c r="Y50" i="21"/>
  <c r="AD50" i="21" s="1"/>
  <c r="AA64" i="22"/>
  <c r="AF64" i="22" s="1"/>
  <c r="V49" i="22"/>
  <c r="AA49" i="22" s="1"/>
  <c r="AF49" i="22" s="1"/>
  <c r="AA9" i="22"/>
  <c r="AF9" i="22" s="1"/>
  <c r="T49" i="21"/>
  <c r="Y49" i="21" s="1"/>
  <c r="AD49" i="21" s="1"/>
  <c r="Y9" i="21"/>
  <c r="AD9" i="21" s="1"/>
  <c r="AA48" i="22"/>
  <c r="AF48" i="22" s="1"/>
  <c r="AA35" i="22"/>
  <c r="AF35" i="22" s="1"/>
  <c r="H8" i="22"/>
  <c r="AA8" i="22" s="1"/>
  <c r="AF8" i="22" s="1"/>
  <c r="F67" i="21"/>
  <c r="Y67" i="21" s="1"/>
  <c r="AD67" i="21" s="1"/>
  <c r="Y35" i="21"/>
  <c r="AD35" i="21" s="1"/>
  <c r="F8" i="21"/>
  <c r="Y8" i="21" s="1"/>
  <c r="AD8" i="21" s="1"/>
  <c r="AA51" i="22"/>
  <c r="AF51" i="22" s="1"/>
  <c r="AA36" i="22"/>
  <c r="AF36" i="22" s="1"/>
  <c r="AA20" i="22"/>
  <c r="AF20" i="22" s="1"/>
  <c r="Y51" i="21"/>
  <c r="AD51" i="21" s="1"/>
  <c r="Y36" i="21"/>
  <c r="AD36" i="21" s="1"/>
  <c r="T79" i="21"/>
  <c r="Y79" i="21" s="1"/>
  <c r="AD79" i="21" s="1"/>
  <c r="T7" i="21"/>
  <c r="Y7" i="21" s="1"/>
  <c r="AD7" i="21" s="1"/>
  <c r="Y5" i="20"/>
  <c r="AD5" i="20" s="1"/>
  <c r="F63" i="22"/>
  <c r="AA63" i="22" s="1"/>
  <c r="AF63" i="22" s="1"/>
  <c r="D80" i="21"/>
  <c r="Y80" i="21" s="1"/>
  <c r="AD80" i="21" s="1"/>
  <c r="D64" i="21"/>
  <c r="Y64" i="21" s="1"/>
  <c r="AD64" i="21" s="1"/>
  <c r="AD65" i="22"/>
  <c r="AI65" i="22" s="1"/>
  <c r="AD64" i="22"/>
  <c r="AI64" i="22" s="1"/>
  <c r="AD63" i="22"/>
  <c r="AI63" i="22" s="1"/>
  <c r="AD62" i="22"/>
  <c r="AI62" i="22" s="1"/>
  <c r="AD61" i="22"/>
  <c r="AI61" i="22" s="1"/>
  <c r="AD52" i="22"/>
  <c r="AI52" i="22" s="1"/>
  <c r="AD51" i="22"/>
  <c r="AD50" i="22"/>
  <c r="AI50" i="22" s="1"/>
  <c r="AD49" i="22"/>
  <c r="AI49" i="22" s="1"/>
  <c r="AD48" i="22"/>
  <c r="AI48" i="22" s="1"/>
  <c r="AD38" i="22"/>
  <c r="AD37" i="22"/>
  <c r="AI37" i="22" s="1"/>
  <c r="AD36" i="22"/>
  <c r="AI36" i="22" s="1"/>
  <c r="AD35" i="22"/>
  <c r="AI35" i="22" s="1"/>
  <c r="AD34" i="22"/>
  <c r="AD24" i="22"/>
  <c r="AI24" i="22" s="1"/>
  <c r="AD23" i="22"/>
  <c r="AD22" i="22"/>
  <c r="AD21" i="22"/>
  <c r="AD20" i="22"/>
  <c r="AI20" i="22" s="1"/>
  <c r="AD10" i="22"/>
  <c r="AD9" i="22"/>
  <c r="AI9" i="22" s="1"/>
  <c r="AD8" i="22"/>
  <c r="AD7" i="22"/>
  <c r="AI7" i="22" s="1"/>
  <c r="AD6" i="22"/>
  <c r="AB82" i="21"/>
  <c r="AG82" i="21" s="1"/>
  <c r="AB81" i="21"/>
  <c r="AB80" i="21"/>
  <c r="AG80" i="21" s="1"/>
  <c r="AB79" i="21"/>
  <c r="AG79" i="21" s="1"/>
  <c r="AB78" i="21"/>
  <c r="AG78" i="21" s="1"/>
  <c r="AB77" i="21"/>
  <c r="AG77" i="21" s="1"/>
  <c r="AB67" i="21"/>
  <c r="AG67" i="21" s="1"/>
  <c r="AB66" i="21"/>
  <c r="AG66" i="21" s="1"/>
  <c r="AB65" i="21"/>
  <c r="AB64" i="21"/>
  <c r="AG64" i="21" s="1"/>
  <c r="AB63" i="21"/>
  <c r="AG63" i="21" s="1"/>
  <c r="AB62" i="21"/>
  <c r="AG62" i="21" s="1"/>
  <c r="AB53" i="21"/>
  <c r="AG53" i="21" s="1"/>
  <c r="AB52" i="21"/>
  <c r="AB51" i="21"/>
  <c r="AG51" i="21" s="1"/>
  <c r="AB50" i="21"/>
  <c r="AB49" i="21"/>
  <c r="AG49" i="21" s="1"/>
  <c r="AB48" i="21"/>
  <c r="AB39" i="21"/>
  <c r="AB38" i="21"/>
  <c r="AG38" i="21" s="1"/>
  <c r="AB37" i="21"/>
  <c r="AB36" i="21"/>
  <c r="AG36" i="21" s="1"/>
  <c r="AB35" i="21"/>
  <c r="AB34" i="21"/>
  <c r="AG34" i="21" s="1"/>
  <c r="AB25" i="21"/>
  <c r="AG25" i="21" s="1"/>
  <c r="AB24" i="21"/>
  <c r="AG24" i="21" s="1"/>
  <c r="AB23" i="21"/>
  <c r="AG23" i="21" s="1"/>
  <c r="AB22" i="21"/>
  <c r="AG22" i="21" s="1"/>
  <c r="AB21" i="21"/>
  <c r="AG21" i="21" s="1"/>
  <c r="AB20" i="21"/>
  <c r="AG20" i="21" s="1"/>
  <c r="M11" i="19"/>
  <c r="AB11" i="21"/>
  <c r="AG11" i="21" s="1"/>
  <c r="AB10" i="21"/>
  <c r="AG10" i="21" s="1"/>
  <c r="AB9" i="21"/>
  <c r="AB8" i="21"/>
  <c r="AB7" i="21"/>
  <c r="AG7" i="21" s="1"/>
  <c r="AB6" i="21"/>
  <c r="AG6" i="21" s="1"/>
  <c r="AB33" i="20"/>
  <c r="AB32" i="20"/>
  <c r="AE32" i="20" s="1"/>
  <c r="U32" i="20"/>
  <c r="Y32" i="20" s="1"/>
  <c r="AD32" i="20" s="1"/>
  <c r="AB30" i="20"/>
  <c r="AE30" i="20" s="1"/>
  <c r="G30" i="20"/>
  <c r="Y30" i="20" s="1"/>
  <c r="AD30" i="20" s="1"/>
  <c r="AB29" i="20"/>
  <c r="AG29" i="20" s="1"/>
  <c r="AB28" i="20"/>
  <c r="AG28" i="20" s="1"/>
  <c r="Y28" i="20"/>
  <c r="AD28" i="20" s="1"/>
  <c r="H27" i="20"/>
  <c r="Q27" i="20" s="1"/>
  <c r="G29" i="20" s="1"/>
  <c r="Y29" i="20" s="1"/>
  <c r="AD29" i="20" s="1"/>
  <c r="AB26" i="20"/>
  <c r="AG26" i="20" s="1"/>
  <c r="Y26" i="20"/>
  <c r="AD26" i="20" s="1"/>
  <c r="AB25" i="20"/>
  <c r="AG25" i="20" s="1"/>
  <c r="Y25" i="20"/>
  <c r="AD25" i="20" s="1"/>
  <c r="AB24" i="20"/>
  <c r="AE24" i="20" s="1"/>
  <c r="Y24" i="20"/>
  <c r="AD24" i="20" s="1"/>
  <c r="AB22" i="20"/>
  <c r="AG22" i="20" s="1"/>
  <c r="F22" i="20"/>
  <c r="Y22" i="20" s="1"/>
  <c r="AD22" i="20" s="1"/>
  <c r="AB20" i="20"/>
  <c r="Y20" i="20"/>
  <c r="AD20" i="20" s="1"/>
  <c r="AB19" i="20"/>
  <c r="AG19" i="20" s="1"/>
  <c r="Y19" i="20"/>
  <c r="AD19" i="20" s="1"/>
  <c r="AB18" i="20"/>
  <c r="Y18" i="20"/>
  <c r="AD18" i="20" s="1"/>
  <c r="AB16" i="20"/>
  <c r="AE16" i="20" s="1"/>
  <c r="Y16" i="20"/>
  <c r="AD16" i="20" s="1"/>
  <c r="AB15" i="20"/>
  <c r="AE15" i="20" s="1"/>
  <c r="Y15" i="20"/>
  <c r="AD15" i="20" s="1"/>
  <c r="AB14" i="20"/>
  <c r="AB13" i="20"/>
  <c r="AG13" i="20" s="1"/>
  <c r="Y13" i="20"/>
  <c r="AD13" i="20" s="1"/>
  <c r="N12" i="20"/>
  <c r="K12" i="20" s="1"/>
  <c r="AB11" i="20"/>
  <c r="AG11" i="20" s="1"/>
  <c r="F11" i="20"/>
  <c r="Y11" i="20" s="1"/>
  <c r="AD11" i="20" s="1"/>
  <c r="AB10" i="20"/>
  <c r="AG10" i="20" s="1"/>
  <c r="F10" i="20"/>
  <c r="Y10" i="20" s="1"/>
  <c r="AD10" i="20" s="1"/>
  <c r="AB8" i="20"/>
  <c r="Y8" i="20"/>
  <c r="AD8" i="20" s="1"/>
  <c r="AB7" i="20"/>
  <c r="AE7" i="20" s="1"/>
  <c r="Y7" i="20"/>
  <c r="AD7" i="20" s="1"/>
  <c r="AB6" i="20"/>
  <c r="AG6" i="20" s="1"/>
  <c r="Y6" i="20"/>
  <c r="AD6" i="20" s="1"/>
  <c r="AB5" i="20"/>
  <c r="AE5" i="20" s="1"/>
  <c r="M136" i="19"/>
  <c r="I155" i="19"/>
  <c r="J155" i="19" s="1"/>
  <c r="I154" i="19"/>
  <c r="J154" i="19" s="1"/>
  <c r="M131" i="19"/>
  <c r="R131" i="19" s="1"/>
  <c r="M176" i="19"/>
  <c r="M109" i="19"/>
  <c r="I94" i="19"/>
  <c r="J94" i="19" s="1"/>
  <c r="M172" i="19"/>
  <c r="R172" i="19" s="1"/>
  <c r="M153" i="19"/>
  <c r="R153" i="19" s="1"/>
  <c r="M129" i="19"/>
  <c r="R129" i="19" s="1"/>
  <c r="M113" i="19"/>
  <c r="M37" i="19"/>
  <c r="R37" i="19" s="1"/>
  <c r="M95" i="19"/>
  <c r="R95" i="19" s="1"/>
  <c r="M74" i="19"/>
  <c r="R74" i="19" s="1"/>
  <c r="M36" i="19"/>
  <c r="R36" i="19" s="1"/>
  <c r="M57" i="19"/>
  <c r="I54" i="19"/>
  <c r="J54" i="19" s="1"/>
  <c r="M70" i="19"/>
  <c r="M96" i="19"/>
  <c r="M75" i="19"/>
  <c r="R75" i="19" s="1"/>
  <c r="I174" i="19"/>
  <c r="J174" i="19" s="1"/>
  <c r="I134" i="19"/>
  <c r="I76" i="19"/>
  <c r="M17" i="19"/>
  <c r="AE11" i="20" l="1"/>
  <c r="AE29" i="20"/>
  <c r="AG33" i="20"/>
  <c r="AG5" i="20"/>
  <c r="AE25" i="20"/>
  <c r="AG24" i="20"/>
  <c r="AG7" i="20"/>
  <c r="AE13" i="20"/>
  <c r="AG32" i="20"/>
  <c r="AG30" i="20"/>
  <c r="AG16" i="20"/>
  <c r="AE20" i="20"/>
  <c r="AE19" i="20"/>
  <c r="AG14" i="20"/>
  <c r="AE6" i="20"/>
  <c r="AG15" i="20"/>
  <c r="AA52" i="22"/>
  <c r="AF52" i="22" s="1"/>
  <c r="Y23" i="21"/>
  <c r="AD23" i="21" s="1"/>
  <c r="W34" i="22"/>
  <c r="AA34" i="22" s="1"/>
  <c r="AF34" i="22" s="1"/>
  <c r="AG34" i="22" s="1"/>
  <c r="V34" i="21"/>
  <c r="Y82" i="21"/>
  <c r="AD82" i="21" s="1"/>
  <c r="AE82" i="21" s="1"/>
  <c r="Y52" i="21"/>
  <c r="AD52" i="21" s="1"/>
  <c r="Y34" i="21"/>
  <c r="AD34" i="21" s="1"/>
  <c r="AE34" i="21" s="1"/>
  <c r="AE22" i="21"/>
  <c r="AG20" i="20"/>
  <c r="AE81" i="21"/>
  <c r="AE65" i="21"/>
  <c r="AG21" i="22"/>
  <c r="AG22" i="22"/>
  <c r="AG38" i="22"/>
  <c r="AG51" i="22"/>
  <c r="AG6" i="22"/>
  <c r="AG7" i="22"/>
  <c r="AG10" i="22"/>
  <c r="AI22" i="22"/>
  <c r="AI38" i="22"/>
  <c r="AI51" i="22"/>
  <c r="AH54" i="22" s="1"/>
  <c r="AG61" i="22"/>
  <c r="AG65" i="22"/>
  <c r="AG8" i="22"/>
  <c r="AG9" i="22"/>
  <c r="AG20" i="22"/>
  <c r="AG23" i="22"/>
  <c r="AG36" i="22"/>
  <c r="AG49" i="22"/>
  <c r="AI67" i="22"/>
  <c r="AG63" i="22"/>
  <c r="AI6" i="22"/>
  <c r="AI8" i="22"/>
  <c r="AI10" i="22"/>
  <c r="AI21" i="22"/>
  <c r="AI23" i="22"/>
  <c r="AG24" i="22"/>
  <c r="AI34" i="22"/>
  <c r="AG35" i="22"/>
  <c r="AG37" i="22"/>
  <c r="AG48" i="22"/>
  <c r="AG50" i="22"/>
  <c r="AG52" i="22"/>
  <c r="AG62" i="22"/>
  <c r="AG64" i="22"/>
  <c r="AH67" i="22"/>
  <c r="AG81" i="21"/>
  <c r="AG84" i="21" s="1"/>
  <c r="AE77" i="21"/>
  <c r="AG65" i="21"/>
  <c r="AF69" i="21" s="1"/>
  <c r="AE63" i="21"/>
  <c r="AE67" i="21"/>
  <c r="AE79" i="21"/>
  <c r="AE62" i="21"/>
  <c r="AE64" i="21"/>
  <c r="AE66" i="21"/>
  <c r="AE78" i="21"/>
  <c r="AE80" i="21"/>
  <c r="AF84" i="21"/>
  <c r="AE35" i="21"/>
  <c r="AE39" i="21"/>
  <c r="AG27" i="21"/>
  <c r="AE36" i="21"/>
  <c r="AE48" i="21"/>
  <c r="AE49" i="21"/>
  <c r="AE52" i="21"/>
  <c r="AE53" i="21"/>
  <c r="AE37" i="21"/>
  <c r="AE38" i="21"/>
  <c r="AE50" i="21"/>
  <c r="AE51" i="21"/>
  <c r="AG35" i="21"/>
  <c r="AG37" i="21"/>
  <c r="AG39" i="21"/>
  <c r="AG48" i="21"/>
  <c r="AG50" i="21"/>
  <c r="AG52" i="21"/>
  <c r="AE20" i="21"/>
  <c r="AE24" i="21"/>
  <c r="AE25" i="21"/>
  <c r="AF27" i="21"/>
  <c r="AE21" i="21"/>
  <c r="AE23" i="21"/>
  <c r="AE8" i="21"/>
  <c r="AG8" i="21"/>
  <c r="AE6" i="21"/>
  <c r="AE9" i="21"/>
  <c r="AE7" i="21"/>
  <c r="AG9" i="21"/>
  <c r="AG13" i="21" s="1"/>
  <c r="AE10" i="21"/>
  <c r="AE11" i="21"/>
  <c r="AE8" i="20"/>
  <c r="AE18" i="20"/>
  <c r="AG8" i="20"/>
  <c r="AG18" i="20"/>
  <c r="AE10" i="20"/>
  <c r="AE28" i="20"/>
  <c r="AF35" i="20"/>
  <c r="AE22" i="20"/>
  <c r="G14" i="20"/>
  <c r="Y14" i="20" s="1"/>
  <c r="AD14" i="20" s="1"/>
  <c r="AE14" i="20" s="1"/>
  <c r="AE26" i="20"/>
  <c r="Q29" i="20"/>
  <c r="G33" i="20"/>
  <c r="Y33" i="20" s="1"/>
  <c r="AD33" i="20" s="1"/>
  <c r="AE33" i="20" s="1"/>
  <c r="M54" i="19"/>
  <c r="R54" i="19" s="1"/>
  <c r="J134" i="19"/>
  <c r="M134" i="19" s="1"/>
  <c r="R134" i="19" s="1"/>
  <c r="M174" i="19"/>
  <c r="R174" i="19" s="1"/>
  <c r="M94" i="19"/>
  <c r="R94" i="19" s="1"/>
  <c r="J76" i="19"/>
  <c r="M76" i="19" s="1"/>
  <c r="R76" i="19" s="1"/>
  <c r="M154" i="19"/>
  <c r="R154" i="19" s="1"/>
  <c r="M155" i="19"/>
  <c r="R155" i="19" s="1"/>
  <c r="I14" i="19"/>
  <c r="J14" i="19" s="1"/>
  <c r="AH40" i="22" l="1"/>
  <c r="AG69" i="21"/>
  <c r="AG35" i="20"/>
  <c r="AE55" i="21"/>
  <c r="AI54" i="22"/>
  <c r="AI26" i="22"/>
  <c r="AG67" i="22"/>
  <c r="AH26" i="22"/>
  <c r="AG12" i="22"/>
  <c r="AF26" i="22"/>
  <c r="AG26" i="22"/>
  <c r="AF54" i="22"/>
  <c r="AF55" i="22" s="1"/>
  <c r="AG54" i="22"/>
  <c r="AI40" i="22"/>
  <c r="AI12" i="22"/>
  <c r="AH12" i="22"/>
  <c r="AG40" i="22"/>
  <c r="AF40" i="22"/>
  <c r="AF67" i="22"/>
  <c r="AF68" i="22" s="1"/>
  <c r="AF12" i="22"/>
  <c r="AF13" i="22" s="1"/>
  <c r="AD84" i="21"/>
  <c r="AD85" i="21" s="1"/>
  <c r="AD69" i="21"/>
  <c r="AD70" i="21" s="1"/>
  <c r="AE69" i="21"/>
  <c r="AE84" i="21"/>
  <c r="AD55" i="21"/>
  <c r="AG41" i="21"/>
  <c r="AG55" i="21"/>
  <c r="AF55" i="21"/>
  <c r="AD41" i="21"/>
  <c r="AE41" i="21"/>
  <c r="AF41" i="21"/>
  <c r="AE27" i="21"/>
  <c r="AD27" i="21"/>
  <c r="AD28" i="21" s="1"/>
  <c r="AF13" i="21"/>
  <c r="AE13" i="21"/>
  <c r="AD13" i="21"/>
  <c r="AD14" i="21" s="1"/>
  <c r="AE35" i="20"/>
  <c r="AD35" i="20"/>
  <c r="AD36" i="20" s="1"/>
  <c r="M14" i="19"/>
  <c r="R14" i="19" s="1"/>
  <c r="M30" i="19"/>
  <c r="M177" i="19"/>
  <c r="M157" i="19"/>
  <c r="M170" i="19"/>
  <c r="R170" i="19" s="1"/>
  <c r="M150" i="19"/>
  <c r="R150" i="19" s="1"/>
  <c r="M132" i="19"/>
  <c r="R132" i="19" s="1"/>
  <c r="M112" i="19"/>
  <c r="M92" i="19"/>
  <c r="R92" i="19" s="1"/>
  <c r="M72" i="19"/>
  <c r="M52" i="19"/>
  <c r="R52" i="19" s="1"/>
  <c r="M35" i="19"/>
  <c r="R35" i="19" s="1"/>
  <c r="M12" i="19"/>
  <c r="R12" i="19" s="1"/>
  <c r="M110" i="19"/>
  <c r="M90" i="19"/>
  <c r="M171" i="19"/>
  <c r="M173" i="19"/>
  <c r="R173" i="19" s="1"/>
  <c r="M114" i="19"/>
  <c r="M133" i="19"/>
  <c r="R133" i="19" s="1"/>
  <c r="M93" i="19"/>
  <c r="M73" i="19"/>
  <c r="R73" i="19" s="1"/>
  <c r="M53" i="19"/>
  <c r="R53" i="19" s="1"/>
  <c r="M29" i="19"/>
  <c r="R29" i="19" s="1"/>
  <c r="M13" i="19"/>
  <c r="R13" i="19" s="1"/>
  <c r="AF27" i="22" l="1"/>
  <c r="AF41" i="22"/>
  <c r="AD56" i="21"/>
  <c r="AD42" i="21"/>
  <c r="M16" i="19"/>
  <c r="R16" i="19" s="1"/>
  <c r="R90" i="19"/>
  <c r="R176" i="19"/>
  <c r="R171" i="19"/>
  <c r="R136" i="19"/>
  <c r="M152" i="19"/>
  <c r="R152" i="19" s="1"/>
  <c r="M130" i="19"/>
  <c r="R130" i="19" s="1"/>
  <c r="M116" i="19"/>
  <c r="M111" i="19"/>
  <c r="R70" i="19"/>
  <c r="R96" i="19"/>
  <c r="M56" i="19"/>
  <c r="R56" i="19" s="1"/>
  <c r="M50" i="19"/>
  <c r="R50" i="19" s="1"/>
  <c r="M10" i="19"/>
  <c r="R10" i="19" s="1"/>
  <c r="M34" i="19"/>
  <c r="R34" i="19" s="1"/>
  <c r="M117" i="19"/>
  <c r="M51" i="19"/>
  <c r="M156" i="19"/>
  <c r="M151" i="19"/>
  <c r="R151" i="19" s="1"/>
  <c r="M97" i="19"/>
  <c r="R97" i="19" s="1"/>
  <c r="M91" i="19"/>
  <c r="R91" i="19" s="1"/>
  <c r="M71" i="19"/>
  <c r="R71" i="19" s="1"/>
  <c r="M31" i="19"/>
  <c r="R31" i="19" s="1"/>
  <c r="R11" i="19"/>
  <c r="R157" i="19"/>
  <c r="R57" i="19"/>
  <c r="M49" i="19"/>
  <c r="R49" i="19" s="1"/>
  <c r="M33" i="19"/>
  <c r="R33" i="19" s="1"/>
  <c r="R17" i="19"/>
  <c r="M175" i="19"/>
  <c r="R175" i="19" s="1"/>
  <c r="M169" i="19"/>
  <c r="R169" i="19" s="1"/>
  <c r="M149" i="19"/>
  <c r="R149" i="19" s="1"/>
  <c r="M137" i="19"/>
  <c r="R137" i="19" s="1"/>
  <c r="M115" i="19"/>
  <c r="M89" i="19"/>
  <c r="R89" i="19" s="1"/>
  <c r="M77" i="19"/>
  <c r="R77" i="19" s="1"/>
  <c r="M69" i="19"/>
  <c r="R69" i="19" s="1"/>
  <c r="M55" i="19"/>
  <c r="R55" i="19" s="1"/>
  <c r="M32" i="19"/>
  <c r="R32" i="19" s="1"/>
  <c r="M15" i="19"/>
  <c r="R15" i="19" s="1"/>
  <c r="R177" i="19" l="1"/>
  <c r="R156" i="19"/>
  <c r="R93" i="19"/>
  <c r="R72" i="19"/>
  <c r="R51" i="19"/>
  <c r="R30" i="19"/>
  <c r="M9" i="19"/>
  <c r="R9" i="19" s="1"/>
  <c r="R111" i="19"/>
  <c r="R112" i="19"/>
  <c r="R113" i="19"/>
  <c r="R114" i="19"/>
  <c r="R115" i="19"/>
  <c r="R116" i="19"/>
  <c r="R117" i="19"/>
  <c r="M135" i="19"/>
  <c r="R135" i="19" s="1"/>
  <c r="P177" i="19" l="1"/>
  <c r="U177" i="19" s="1"/>
  <c r="P176" i="19"/>
  <c r="U176" i="19" s="1"/>
  <c r="P175" i="19"/>
  <c r="U175" i="19" s="1"/>
  <c r="P174" i="19"/>
  <c r="U174" i="19" s="1"/>
  <c r="P173" i="19"/>
  <c r="U173" i="19" s="1"/>
  <c r="P172" i="19"/>
  <c r="P171" i="19"/>
  <c r="U171" i="19" s="1"/>
  <c r="P170" i="19"/>
  <c r="U170" i="19" s="1"/>
  <c r="P169" i="19"/>
  <c r="U169" i="19" s="1"/>
  <c r="P157" i="19"/>
  <c r="U157" i="19" s="1"/>
  <c r="P156" i="19"/>
  <c r="P155" i="19"/>
  <c r="U155" i="19" s="1"/>
  <c r="P154" i="19"/>
  <c r="U154" i="19" s="1"/>
  <c r="P153" i="19"/>
  <c r="U153" i="19" s="1"/>
  <c r="P152" i="19"/>
  <c r="U152" i="19" s="1"/>
  <c r="P151" i="19"/>
  <c r="U151" i="19" s="1"/>
  <c r="P150" i="19"/>
  <c r="U150" i="19" s="1"/>
  <c r="P149" i="19"/>
  <c r="U149" i="19" s="1"/>
  <c r="P137" i="19"/>
  <c r="U137" i="19" s="1"/>
  <c r="P136" i="19"/>
  <c r="U136" i="19" s="1"/>
  <c r="P135" i="19"/>
  <c r="U135" i="19" s="1"/>
  <c r="P134" i="19"/>
  <c r="U134" i="19" s="1"/>
  <c r="P133" i="19"/>
  <c r="U133" i="19" s="1"/>
  <c r="P132" i="19"/>
  <c r="U132" i="19" s="1"/>
  <c r="P131" i="19"/>
  <c r="U131" i="19" s="1"/>
  <c r="P130" i="19"/>
  <c r="U130" i="19" s="1"/>
  <c r="P129" i="19"/>
  <c r="U129" i="19" s="1"/>
  <c r="P117" i="19"/>
  <c r="U117" i="19" s="1"/>
  <c r="P116" i="19"/>
  <c r="U116" i="19" s="1"/>
  <c r="P115" i="19"/>
  <c r="U115" i="19" s="1"/>
  <c r="P114" i="19"/>
  <c r="U114" i="19" s="1"/>
  <c r="P113" i="19"/>
  <c r="U113" i="19" s="1"/>
  <c r="P112" i="19"/>
  <c r="U112" i="19" s="1"/>
  <c r="P111" i="19"/>
  <c r="U111" i="19" s="1"/>
  <c r="P110" i="19"/>
  <c r="U110" i="19" s="1"/>
  <c r="R110" i="19"/>
  <c r="P109" i="19"/>
  <c r="U109" i="19" s="1"/>
  <c r="R109" i="19"/>
  <c r="P77" i="19"/>
  <c r="U77" i="19" s="1"/>
  <c r="P76" i="19"/>
  <c r="U76" i="19" s="1"/>
  <c r="P75" i="19"/>
  <c r="U75" i="19" s="1"/>
  <c r="P74" i="19"/>
  <c r="U74" i="19" s="1"/>
  <c r="P73" i="19"/>
  <c r="U73" i="19" s="1"/>
  <c r="P72" i="19"/>
  <c r="U72" i="19" s="1"/>
  <c r="P71" i="19"/>
  <c r="U71" i="19" s="1"/>
  <c r="P70" i="19"/>
  <c r="U70" i="19" s="1"/>
  <c r="P69" i="19"/>
  <c r="U69" i="19" s="1"/>
  <c r="P57" i="19"/>
  <c r="U57" i="19" s="1"/>
  <c r="P56" i="19"/>
  <c r="U56" i="19" s="1"/>
  <c r="P55" i="19"/>
  <c r="U55" i="19" s="1"/>
  <c r="P54" i="19"/>
  <c r="U54" i="19" s="1"/>
  <c r="P53" i="19"/>
  <c r="U53" i="19" s="1"/>
  <c r="P52" i="19"/>
  <c r="U52" i="19" s="1"/>
  <c r="P51" i="19"/>
  <c r="U51" i="19" s="1"/>
  <c r="P50" i="19"/>
  <c r="U50" i="19" s="1"/>
  <c r="P49" i="19"/>
  <c r="U49" i="19" s="1"/>
  <c r="P97" i="19"/>
  <c r="U97" i="19" s="1"/>
  <c r="P96" i="19"/>
  <c r="S96" i="19" s="1"/>
  <c r="P95" i="19"/>
  <c r="U95" i="19" s="1"/>
  <c r="P94" i="19"/>
  <c r="P93" i="19"/>
  <c r="U93" i="19" s="1"/>
  <c r="P92" i="19"/>
  <c r="P91" i="19"/>
  <c r="U91" i="19" s="1"/>
  <c r="P90" i="19"/>
  <c r="P89" i="19"/>
  <c r="U89" i="19" s="1"/>
  <c r="P37" i="19"/>
  <c r="U37" i="19" s="1"/>
  <c r="P36" i="19"/>
  <c r="U36" i="19" s="1"/>
  <c r="P35" i="19"/>
  <c r="U35" i="19" s="1"/>
  <c r="P34" i="19"/>
  <c r="U34" i="19" s="1"/>
  <c r="P33" i="19"/>
  <c r="U33" i="19" s="1"/>
  <c r="P32" i="19"/>
  <c r="U32" i="19" s="1"/>
  <c r="P31" i="19"/>
  <c r="U31" i="19" s="1"/>
  <c r="P30" i="19"/>
  <c r="U30" i="19" s="1"/>
  <c r="P29" i="19"/>
  <c r="U29" i="19" s="1"/>
  <c r="P17" i="19"/>
  <c r="U17" i="19" s="1"/>
  <c r="P16" i="19"/>
  <c r="U16" i="19" s="1"/>
  <c r="P15" i="19"/>
  <c r="U15" i="19" s="1"/>
  <c r="P14" i="19"/>
  <c r="U14" i="19" s="1"/>
  <c r="P13" i="19"/>
  <c r="U13" i="19" s="1"/>
  <c r="P12" i="19"/>
  <c r="U12" i="19" s="1"/>
  <c r="P11" i="19"/>
  <c r="U11" i="19" s="1"/>
  <c r="P10" i="19"/>
  <c r="U10" i="19" s="1"/>
  <c r="P9" i="19"/>
  <c r="U9" i="19" s="1"/>
  <c r="S113" i="19" l="1"/>
  <c r="S114" i="19"/>
  <c r="S94" i="19"/>
  <c r="S95" i="19"/>
  <c r="S13" i="19"/>
  <c r="S97" i="19"/>
  <c r="S111" i="19"/>
  <c r="S112" i="19"/>
  <c r="S35" i="19"/>
  <c r="S16" i="19"/>
  <c r="S15" i="19"/>
  <c r="S89" i="19"/>
  <c r="S37" i="19"/>
  <c r="S117" i="19"/>
  <c r="S91" i="19"/>
  <c r="S93" i="19"/>
  <c r="S30" i="19"/>
  <c r="S109" i="19"/>
  <c r="S116" i="19"/>
  <c r="S137" i="19"/>
  <c r="S12" i="19"/>
  <c r="S9" i="19"/>
  <c r="S11" i="19"/>
  <c r="S29" i="19"/>
  <c r="S90" i="19"/>
  <c r="S92" i="19"/>
  <c r="S34" i="19"/>
  <c r="S31" i="19"/>
  <c r="S110" i="19"/>
  <c r="S115" i="19"/>
  <c r="S36" i="19"/>
  <c r="S17" i="19"/>
  <c r="U59" i="19"/>
  <c r="U139" i="19"/>
  <c r="S131" i="19"/>
  <c r="S135" i="19"/>
  <c r="S156" i="19"/>
  <c r="S152" i="19"/>
  <c r="S176" i="19"/>
  <c r="S172" i="19"/>
  <c r="U172" i="19"/>
  <c r="U179" i="19" s="1"/>
  <c r="U156" i="19"/>
  <c r="U159" i="19" s="1"/>
  <c r="S150" i="19"/>
  <c r="S154" i="19"/>
  <c r="S170" i="19"/>
  <c r="S174" i="19"/>
  <c r="S149" i="19"/>
  <c r="S151" i="19"/>
  <c r="S153" i="19"/>
  <c r="S155" i="19"/>
  <c r="S157" i="19"/>
  <c r="S169" i="19"/>
  <c r="S171" i="19"/>
  <c r="S173" i="19"/>
  <c r="S175" i="19"/>
  <c r="S177" i="19"/>
  <c r="S129" i="19"/>
  <c r="S133" i="19"/>
  <c r="T139" i="19"/>
  <c r="S130" i="19"/>
  <c r="S132" i="19"/>
  <c r="S134" i="19"/>
  <c r="S136" i="19"/>
  <c r="U119" i="19"/>
  <c r="T119" i="19"/>
  <c r="S76" i="19"/>
  <c r="S72" i="19"/>
  <c r="S56" i="19"/>
  <c r="S52" i="19"/>
  <c r="T59" i="19"/>
  <c r="U79" i="19"/>
  <c r="T79" i="19"/>
  <c r="S50" i="19"/>
  <c r="S54" i="19"/>
  <c r="S70" i="19"/>
  <c r="S74" i="19"/>
  <c r="S49" i="19"/>
  <c r="S51" i="19"/>
  <c r="S53" i="19"/>
  <c r="S55" i="19"/>
  <c r="S57" i="19"/>
  <c r="S69" i="19"/>
  <c r="S71" i="19"/>
  <c r="S73" i="19"/>
  <c r="S75" i="19"/>
  <c r="S77" i="19"/>
  <c r="S33" i="19"/>
  <c r="U90" i="19"/>
  <c r="U92" i="19"/>
  <c r="U94" i="19"/>
  <c r="U96" i="19"/>
  <c r="U39" i="19"/>
  <c r="T39" i="19"/>
  <c r="S32" i="19"/>
  <c r="U19" i="19"/>
  <c r="T19" i="19"/>
  <c r="S10" i="19"/>
  <c r="S14" i="19"/>
  <c r="T179" i="19" l="1"/>
  <c r="T99" i="19"/>
  <c r="S139" i="19"/>
  <c r="T159" i="19"/>
  <c r="S179" i="19"/>
  <c r="R179" i="19"/>
  <c r="S159" i="19"/>
  <c r="R159" i="19"/>
  <c r="U99" i="19"/>
  <c r="R139" i="19"/>
  <c r="R140" i="19" s="1"/>
  <c r="S119" i="19"/>
  <c r="R119" i="19"/>
  <c r="R120" i="19" s="1"/>
  <c r="S79" i="19"/>
  <c r="R79" i="19"/>
  <c r="R80" i="19" s="1"/>
  <c r="S59" i="19"/>
  <c r="R59" i="19"/>
  <c r="R60" i="19" s="1"/>
  <c r="S99" i="19"/>
  <c r="R99" i="19"/>
  <c r="S39" i="19"/>
  <c r="R39" i="19"/>
  <c r="R40" i="19" s="1"/>
  <c r="S19" i="19"/>
  <c r="R19" i="19"/>
  <c r="R20" i="19" s="1"/>
  <c r="R100" i="19" l="1"/>
  <c r="R180" i="19"/>
  <c r="R160" i="19"/>
</calcChain>
</file>

<file path=xl/comments1.xml><?xml version="1.0" encoding="utf-8"?>
<comments xmlns="http://schemas.openxmlformats.org/spreadsheetml/2006/main">
  <authors>
    <author>Míra</author>
  </authors>
  <commentList>
    <comment ref="B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1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1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2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2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2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2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2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2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2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2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2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2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2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2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2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2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3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3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4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4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4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4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4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4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4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4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4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4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4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4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4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4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5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5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6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6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6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6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6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6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6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6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6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6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6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6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6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6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7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7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8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8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8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8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8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8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8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8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8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8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8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8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8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8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8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9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9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10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0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10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10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10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10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10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10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10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10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10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10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10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10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10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11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11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12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2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12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12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12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12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12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12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12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12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12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12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12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12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12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13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13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14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4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14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14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14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14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14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14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14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14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14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14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14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14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14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15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15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16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67" authorId="0">
      <text>
        <r>
          <rPr>
            <sz val="9"/>
            <color indexed="81"/>
            <rFont val="Tahoma"/>
            <family val="2"/>
            <charset val="238"/>
          </rPr>
          <t>Jednotlivé obrazce</t>
        </r>
      </text>
    </comment>
    <comment ref="C167" authorId="0">
      <text>
        <r>
          <rPr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M167" authorId="0">
      <text>
        <r>
          <rPr>
            <sz val="9"/>
            <color indexed="81"/>
            <rFont val="Tahoma"/>
            <family val="2"/>
            <charset val="238"/>
          </rPr>
          <t>Vstupní hodnoty</t>
        </r>
      </text>
    </comment>
    <comment ref="R167" authorId="0">
      <text>
        <r>
          <rPr>
            <sz val="9"/>
            <color indexed="81"/>
            <rFont val="Tahoma"/>
            <family val="2"/>
            <charset val="238"/>
          </rPr>
          <t>Výsledky</t>
        </r>
      </text>
    </comment>
    <comment ref="C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D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H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tětivy</t>
        </r>
      </text>
    </comment>
    <comment ref="I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uvedeného poloměru</t>
        </r>
      </text>
    </comment>
    <comment ref="J16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úhlu ve (°)</t>
        </r>
      </text>
    </comment>
    <comment ref="K168" authorId="0">
      <text>
        <r>
          <rPr>
            <b/>
            <sz val="9"/>
            <color indexed="81"/>
            <rFont val="Tahoma"/>
            <family val="2"/>
            <charset val="238"/>
          </rPr>
          <t>Míra:</t>
        </r>
        <r>
          <rPr>
            <sz val="9"/>
            <color indexed="81"/>
            <rFont val="Tahoma"/>
            <family val="2"/>
            <charset val="238"/>
          </rPr>
          <t xml:space="preserve">
V tomto sloupci jsou velikosti uvedeného průměru</t>
        </r>
      </text>
    </comment>
    <comment ref="L168" authorId="0">
      <text>
        <r>
          <rPr>
            <sz val="9"/>
            <color indexed="81"/>
            <rFont val="Tahoma"/>
            <family val="2"/>
            <charset val="238"/>
          </rPr>
          <t>V tomto sloupci jsou velikosti uvedené úhlopříčky</t>
        </r>
      </text>
    </comment>
    <comment ref="M168" authorId="0">
      <text>
        <r>
          <rPr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N16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O168" authorId="0">
      <text>
        <r>
          <rPr>
            <sz val="9"/>
            <color indexed="81"/>
            <rFont val="Tahoma"/>
            <family val="2"/>
            <charset val="238"/>
          </rPr>
          <t>Operace</t>
        </r>
      </text>
    </comment>
    <comment ref="Q168" authorId="0">
      <text>
        <r>
          <rPr>
            <sz val="9"/>
            <color indexed="81"/>
            <rFont val="Tahoma"/>
            <family val="2"/>
            <charset val="238"/>
          </rPr>
          <t>Počet</t>
        </r>
      </text>
    </comment>
    <comment ref="R168" authorId="0">
      <text>
        <r>
          <rPr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T168" authorId="0">
      <text>
        <r>
          <rPr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V168" authorId="0">
      <text>
        <r>
          <rPr>
            <sz val="9"/>
            <color indexed="81"/>
            <rFont val="Tahoma"/>
            <family val="2"/>
            <charset val="238"/>
          </rPr>
          <t>Jednotky</t>
        </r>
      </text>
    </comment>
    <comment ref="R17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T179" authorId="0">
      <text>
        <r>
          <rPr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R180" authorId="0">
      <text>
        <r>
          <rPr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</commentList>
</comments>
</file>

<file path=xl/comments2.xml><?xml version="1.0" encoding="utf-8"?>
<comments xmlns="http://schemas.openxmlformats.org/spreadsheetml/2006/main">
  <authors>
    <author>Míra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4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4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4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5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5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5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5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5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5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5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5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13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13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14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18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18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18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19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19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19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19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19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19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19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27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27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28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32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32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32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33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3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33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33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33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33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3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41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41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42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46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46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46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47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47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47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47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47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47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47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55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55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56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60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60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60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61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61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61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61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61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61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61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61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69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69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70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75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75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Y75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D75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E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F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K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L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M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N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O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P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Q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R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S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T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U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V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W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76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76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76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76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76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76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76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76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D84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84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85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</commentList>
</comments>
</file>

<file path=xl/comments3.xml><?xml version="1.0" encoding="utf-8"?>
<comments xmlns="http://schemas.openxmlformats.org/spreadsheetml/2006/main">
  <authors>
    <author>Míra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4" authorId="0">
      <text>
        <r>
          <rPr>
            <b/>
            <sz val="9"/>
            <color indexed="81"/>
            <rFont val="Tahoma"/>
            <family val="2"/>
            <charset val="238"/>
          </rPr>
          <t>Hustota tělesa</t>
        </r>
      </text>
    </comment>
    <comment ref="F4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AA4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F4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5" authorId="0">
      <text>
        <r>
          <rPr>
            <b/>
            <sz val="9"/>
            <color indexed="81"/>
            <rFont val="Tahoma"/>
            <family val="2"/>
            <charset val="238"/>
          </rPr>
          <t>Hustota v různých jednotkách</t>
        </r>
      </text>
    </comment>
    <comment ref="E5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F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N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P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V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X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Y5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Z5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AA5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AB5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C5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E5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F5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H5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J5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F12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H12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F13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18" authorId="0">
      <text>
        <r>
          <rPr>
            <b/>
            <sz val="9"/>
            <color indexed="81"/>
            <rFont val="Tahoma"/>
            <family val="2"/>
            <charset val="238"/>
          </rPr>
          <t>Hustota tělesa</t>
        </r>
      </text>
    </comment>
    <comment ref="F18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AA18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F18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19" authorId="0">
      <text>
        <r>
          <rPr>
            <b/>
            <sz val="9"/>
            <color indexed="81"/>
            <rFont val="Tahoma"/>
            <family val="2"/>
            <charset val="238"/>
          </rPr>
          <t>Hustota v různých jednotkách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F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N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P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V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X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Y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Z19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AA19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AB19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C19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E19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F19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H19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J19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F26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H26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F27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32" authorId="0">
      <text>
        <r>
          <rPr>
            <b/>
            <sz val="9"/>
            <color indexed="81"/>
            <rFont val="Tahoma"/>
            <family val="2"/>
            <charset val="238"/>
          </rPr>
          <t>Hustota tělesa</t>
        </r>
      </text>
    </comment>
    <comment ref="F32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AA32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F32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33" authorId="0">
      <text>
        <r>
          <rPr>
            <b/>
            <sz val="9"/>
            <color indexed="81"/>
            <rFont val="Tahoma"/>
            <family val="2"/>
            <charset val="238"/>
          </rPr>
          <t>Hustota v různých jednotkách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N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P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V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X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Y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Z33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AA33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AB3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C33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E33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F33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H33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J3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F40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H40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F41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46" authorId="0">
      <text>
        <r>
          <rPr>
            <b/>
            <sz val="9"/>
            <color indexed="81"/>
            <rFont val="Tahoma"/>
            <family val="2"/>
            <charset val="238"/>
          </rPr>
          <t>Hustota tělesa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AA46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F46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47" authorId="0">
      <text>
        <r>
          <rPr>
            <b/>
            <sz val="9"/>
            <color indexed="81"/>
            <rFont val="Tahoma"/>
            <family val="2"/>
            <charset val="238"/>
          </rPr>
          <t>Hustota v různých jednotkách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N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P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V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X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Y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Z47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AA47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AB47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C47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E47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F47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H47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J47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F54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H54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F55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38"/>
          </rPr>
          <t>Jednotlivé obrazce</t>
        </r>
      </text>
    </comment>
    <comment ref="C59" authorId="0">
      <text>
        <r>
          <rPr>
            <b/>
            <sz val="9"/>
            <color indexed="81"/>
            <rFont val="Tahoma"/>
            <family val="2"/>
            <charset val="238"/>
          </rPr>
          <t>Použitá metoda tělesa</t>
        </r>
      </text>
    </comment>
    <comment ref="D59" authorId="0">
      <text>
        <r>
          <rPr>
            <b/>
            <sz val="9"/>
            <color indexed="81"/>
            <rFont val="Tahoma"/>
            <family val="2"/>
            <charset val="238"/>
          </rPr>
          <t>Hustota tělesa</t>
        </r>
      </text>
    </comment>
    <comment ref="F59" authorId="0">
      <text>
        <r>
          <rPr>
            <b/>
            <sz val="9"/>
            <color indexed="81"/>
            <rFont val="Tahoma"/>
            <family val="2"/>
            <charset val="238"/>
          </rPr>
          <t>Velikosti stran jednotlivých obrazců</t>
        </r>
      </text>
    </comment>
    <comment ref="AA59" authorId="0">
      <text>
        <r>
          <rPr>
            <b/>
            <sz val="9"/>
            <color indexed="81"/>
            <rFont val="Tahoma"/>
            <family val="2"/>
            <charset val="238"/>
          </rPr>
          <t>Vstupní hodnoty</t>
        </r>
      </text>
    </comment>
    <comment ref="AF59" authorId="0">
      <text>
        <r>
          <rPr>
            <b/>
            <sz val="9"/>
            <color indexed="81"/>
            <rFont val="Tahoma"/>
            <family val="2"/>
            <charset val="238"/>
          </rPr>
          <t>Výsledky</t>
        </r>
      </text>
    </comment>
    <comment ref="D60" authorId="0">
      <text>
        <r>
          <rPr>
            <b/>
            <sz val="9"/>
            <color indexed="81"/>
            <rFont val="Tahoma"/>
            <family val="2"/>
            <charset val="238"/>
          </rPr>
          <t>Hustota v různých jednotkách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N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 ve (°)</t>
        </r>
      </text>
    </comment>
    <comment ref="P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opsané</t>
        </r>
      </text>
    </comment>
    <comment ref="V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2</t>
        </r>
      </text>
    </comment>
    <comment ref="X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3</t>
        </r>
      </text>
    </comment>
    <comment ref="Y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Z60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AA60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AB60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C60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E60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F60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H60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J60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F67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H67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F68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</commentList>
</comments>
</file>

<file path=xl/comments4.xml><?xml version="1.0" encoding="utf-8"?>
<comments xmlns="http://schemas.openxmlformats.org/spreadsheetml/2006/main">
  <authors>
    <author>Míra</author>
  </authors>
  <commentLis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Jednotlivé segmenty těles</t>
        </r>
      </text>
    </comment>
    <comment ref="F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G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H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I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J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K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strany</t>
        </r>
      </text>
    </comment>
    <comment ref="L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</t>
        </r>
      </text>
    </comment>
    <comment ref="M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úseče</t>
        </r>
      </text>
    </comment>
    <comment ref="N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výšky odříznuté části</t>
        </r>
      </text>
    </comment>
    <comment ref="O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úhlu</t>
        </r>
      </text>
    </comment>
    <comment ref="P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tělesové úhlopříčky</t>
        </r>
      </text>
    </comment>
    <comment ref="Q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 stěnové úhlopříčky</t>
        </r>
      </text>
    </comment>
    <comment ref="R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horní podstavy</t>
        </r>
      </text>
    </comment>
    <comment ref="S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spodní podstavy</t>
        </r>
      </text>
    </comment>
    <comment ref="T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kružnice vepsané</t>
        </r>
      </text>
    </comment>
    <comment ref="U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V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poloměru 1</t>
        </r>
      </text>
    </comment>
    <comment ref="W3" authorId="0">
      <text>
        <r>
          <rPr>
            <b/>
            <sz val="9"/>
            <color indexed="81"/>
            <rFont val="Tahoma"/>
            <family val="2"/>
            <charset val="238"/>
          </rPr>
          <t>V tomto sloupci jsou velikosti uvedeného průměru</t>
        </r>
      </text>
    </comment>
    <comment ref="X3" authorId="0">
      <text>
        <r>
          <rPr>
            <b/>
            <sz val="9"/>
            <color indexed="81"/>
            <rFont val="Tahoma"/>
            <family val="2"/>
            <charset val="238"/>
          </rPr>
          <t>V tomto sloupci je uvedeno počet stěn</t>
        </r>
      </text>
    </comment>
    <comment ref="Y3" authorId="0">
      <text>
        <r>
          <rPr>
            <b/>
            <sz val="9"/>
            <color indexed="81"/>
            <rFont val="Tahoma"/>
            <family val="2"/>
            <charset val="238"/>
          </rPr>
          <t>Obsah plochy uvadený v ruzných jednotkách</t>
        </r>
      </text>
    </comment>
    <comment ref="Z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AA3" authorId="0">
      <text>
        <r>
          <rPr>
            <b/>
            <sz val="9"/>
            <color indexed="81"/>
            <rFont val="Tahoma"/>
            <family val="2"/>
            <charset val="238"/>
          </rPr>
          <t>Operace</t>
        </r>
      </text>
    </comment>
    <comment ref="AC3" authorId="0">
      <text>
        <r>
          <rPr>
            <b/>
            <sz val="9"/>
            <color indexed="81"/>
            <rFont val="Tahoma"/>
            <family val="2"/>
            <charset val="238"/>
          </rPr>
          <t>Počet</t>
        </r>
      </text>
    </comment>
    <comment ref="AD3" authorId="0">
      <text>
        <r>
          <rPr>
            <b/>
            <sz val="9"/>
            <color indexed="81"/>
            <rFont val="Tahoma"/>
            <family val="2"/>
            <charset val="238"/>
          </rPr>
          <t>Obsah plochy uvedený v hodnotě této tabulky</t>
        </r>
      </text>
    </comment>
    <comment ref="AF3" authorId="0">
      <text>
        <r>
          <rPr>
            <b/>
            <sz val="9"/>
            <color indexed="81"/>
            <rFont val="Tahoma"/>
            <family val="2"/>
            <charset val="238"/>
          </rPr>
          <t>Výsledná hodnota v programu VIKLAN Jednotky</t>
        </r>
      </text>
    </comment>
    <comment ref="AH3" authorId="0">
      <text>
        <r>
          <rPr>
            <b/>
            <sz val="9"/>
            <color indexed="81"/>
            <rFont val="Tahoma"/>
            <family val="2"/>
            <charset val="238"/>
          </rPr>
          <t>Jednotky</t>
        </r>
      </text>
    </comment>
    <comment ref="B5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38"/>
          </rPr>
          <t>Typ tělesa</t>
        </r>
      </text>
    </comment>
    <comment ref="AD35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tabulky, vypočtená v programu EXCEL</t>
        </r>
      </text>
    </comment>
    <comment ref="AF35" authorId="0">
      <text>
        <r>
          <rPr>
            <b/>
            <sz val="9"/>
            <color indexed="81"/>
            <rFont val="Tahoma"/>
            <family val="2"/>
            <charset val="238"/>
          </rPr>
          <t>Celková hodnota v jednotkách této tabulky naměřená v programu VIKLAN Jednotky</t>
        </r>
      </text>
    </comment>
    <comment ref="AD36" authorId="0">
      <text>
        <r>
          <rPr>
            <b/>
            <sz val="9"/>
            <color indexed="81"/>
            <rFont val="Tahoma"/>
            <family val="2"/>
            <charset val="238"/>
          </rPr>
          <t>Odchylky mezi odečtenými hodnoty z programu VIKLAN a správnými výsledky v procentech</t>
        </r>
      </text>
    </comment>
  </commentList>
</comments>
</file>

<file path=xl/sharedStrings.xml><?xml version="1.0" encoding="utf-8"?>
<sst xmlns="http://schemas.openxmlformats.org/spreadsheetml/2006/main" count="1470" uniqueCount="156">
  <si>
    <t>a</t>
  </si>
  <si>
    <t>ac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</si>
  <si>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</si>
  <si>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dm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</si>
  <si>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ha</t>
  </si>
  <si>
    <r>
      <t>mm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</si>
  <si>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sq ft</t>
  </si>
  <si>
    <t>sq in</t>
  </si>
  <si>
    <r>
      <t>cm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</si>
  <si>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Operace</t>
  </si>
  <si>
    <t>Počet</t>
  </si>
  <si>
    <t>Obsah plochy</t>
  </si>
  <si>
    <t>Jednotky</t>
  </si>
  <si>
    <t>Vstupy</t>
  </si>
  <si>
    <t>Výsledky</t>
  </si>
  <si>
    <t>CELKEM</t>
  </si>
  <si>
    <t>m2</t>
  </si>
  <si>
    <t>cm2</t>
  </si>
  <si>
    <t>dm2</t>
  </si>
  <si>
    <t>mm2</t>
  </si>
  <si>
    <t>sg in</t>
  </si>
  <si>
    <t>MINUS</t>
  </si>
  <si>
    <t>PLUS</t>
  </si>
  <si>
    <t>NEUVAŽOVAT</t>
  </si>
  <si>
    <t>Plocha</t>
  </si>
  <si>
    <t>Obsah plochy VIKLAN</t>
  </si>
  <si>
    <t>Odchylka naměřených hodnot</t>
  </si>
  <si>
    <t>Obrazec</t>
  </si>
  <si>
    <t>Velikosti stran</t>
  </si>
  <si>
    <t>Čtverec</t>
  </si>
  <si>
    <t>Čtyřúhelník</t>
  </si>
  <si>
    <t>Kruh</t>
  </si>
  <si>
    <t>Kruhová úseč</t>
  </si>
  <si>
    <t>Kruhová výseč</t>
  </si>
  <si>
    <t>Obdelník</t>
  </si>
  <si>
    <t>Trojúhelník</t>
  </si>
  <si>
    <t>Průměr</t>
  </si>
  <si>
    <t>Strana 4</t>
  </si>
  <si>
    <t>Strana 3</t>
  </si>
  <si>
    <t>Strana 2</t>
  </si>
  <si>
    <t>Strana 1</t>
  </si>
  <si>
    <t>Výška</t>
  </si>
  <si>
    <t>Tětiva</t>
  </si>
  <si>
    <t xml:space="preserve">Poloměr </t>
  </si>
  <si>
    <t>Úhel</t>
  </si>
  <si>
    <t>kruh</t>
  </si>
  <si>
    <t>Úhlopříčka</t>
  </si>
  <si>
    <t>Kontroloval: Miroslav Hošek</t>
  </si>
  <si>
    <t>Dne: 10.3.2012</t>
  </si>
  <si>
    <t>sqin</t>
  </si>
  <si>
    <t xml:space="preserve">   Zde byla provedena kontrola:</t>
  </si>
  <si>
    <t xml:space="preserve">   Včechny tyto funkce fungují.</t>
  </si>
  <si>
    <t>Obnova definice prvku v základním okně VIKLAN Jednotky</t>
  </si>
  <si>
    <t>Výmaz záznamu v paměti</t>
  </si>
  <si>
    <t>Další kontrola programu VIKLAN Jednotky v Paměti ploch.</t>
  </si>
  <si>
    <t>Obnova původního nastavení záznamu v paměti</t>
  </si>
  <si>
    <t>Posouvání nahoru i dolů</t>
  </si>
  <si>
    <t>Použitá metoda</t>
  </si>
  <si>
    <t>Jednotlivé segmenty těles</t>
  </si>
  <si>
    <t>Strana A</t>
  </si>
  <si>
    <t>Strana B</t>
  </si>
  <si>
    <t>Strana C</t>
  </si>
  <si>
    <t>Strana D</t>
  </si>
  <si>
    <t>Strana A2</t>
  </si>
  <si>
    <t>Strana B2</t>
  </si>
  <si>
    <t>Výška úseče</t>
  </si>
  <si>
    <t>Výška odříznuté části</t>
  </si>
  <si>
    <t>Tělesová úhlopříčka</t>
  </si>
  <si>
    <t>Stěnová úhlopříčka</t>
  </si>
  <si>
    <t xml:space="preserve">Poloměr horní podstavy </t>
  </si>
  <si>
    <t xml:space="preserve">Poloměr dolní podstavy </t>
  </si>
  <si>
    <t xml:space="preserve">Poloměr kružnice vepsané </t>
  </si>
  <si>
    <t xml:space="preserve">Poloměr 1 </t>
  </si>
  <si>
    <t xml:space="preserve">Poloměr 2 </t>
  </si>
  <si>
    <t>Počet stěn</t>
  </si>
  <si>
    <t>Hranol 3-boký</t>
  </si>
  <si>
    <t>Podstava</t>
  </si>
  <si>
    <t>SSSV</t>
  </si>
  <si>
    <t>Boční stěna A</t>
  </si>
  <si>
    <t>Boční stěna B</t>
  </si>
  <si>
    <t>NEUVAZOVAT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</si>
  <si>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/>
    </r>
  </si>
  <si>
    <t>Boční stěna C</t>
  </si>
  <si>
    <t>Hranol kolmý</t>
  </si>
  <si>
    <t>RvVn</t>
  </si>
  <si>
    <t>Boční stěna</t>
  </si>
  <si>
    <t>Jehlan 4-boký</t>
  </si>
  <si>
    <t>Dolní podstava</t>
  </si>
  <si>
    <t>SSVSa</t>
  </si>
  <si>
    <t>Horní podstava</t>
  </si>
  <si>
    <t>Stěna nad stranou A</t>
  </si>
  <si>
    <t>Stěna nad stranou B</t>
  </si>
  <si>
    <t>Pravidelný víceboký jehlan</t>
  </si>
  <si>
    <t>SVSn</t>
  </si>
  <si>
    <t>Krychle</t>
  </si>
  <si>
    <t>Us</t>
  </si>
  <si>
    <t>Stěna</t>
  </si>
  <si>
    <r>
      <t>m</t>
    </r>
    <r>
      <rPr>
        <vertAlign val="superscript"/>
        <sz val="11"/>
        <color theme="1"/>
        <rFont val="Calibri"/>
        <family val="2"/>
        <charset val="238"/>
      </rPr>
      <t>2</t>
    </r>
  </si>
  <si>
    <t>Kužel rotační</t>
  </si>
  <si>
    <t>Horní posrava</t>
  </si>
  <si>
    <t>SRR</t>
  </si>
  <si>
    <t>Plášť</t>
  </si>
  <si>
    <t>Kvádr</t>
  </si>
  <si>
    <t>ABUt</t>
  </si>
  <si>
    <t>Boční stěna nad A</t>
  </si>
  <si>
    <t>Boční stěna nad B</t>
  </si>
  <si>
    <t>Válec</t>
  </si>
  <si>
    <t>DV</t>
  </si>
  <si>
    <t>Další kontrola programu VIKLAN Jednotky v Paměti ploch</t>
  </si>
  <si>
    <t>POROVNÁNÍ HODNOT Z PROGRAMU VIKLAN Jednotky: Obrazce</t>
  </si>
  <si>
    <t>Kontroloval:</t>
  </si>
  <si>
    <t>Dne:</t>
  </si>
  <si>
    <t>Miroslav Hošek</t>
  </si>
  <si>
    <t>cl</t>
  </si>
  <si>
    <t>hl</t>
  </si>
  <si>
    <t>dl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</si>
  <si>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</si>
  <si>
    <t>ml</t>
  </si>
  <si>
    <t>l</t>
  </si>
  <si>
    <t>Koule</t>
  </si>
  <si>
    <t>Jehlan pravidelný</t>
  </si>
  <si>
    <t>Tělesa</t>
  </si>
  <si>
    <t>D</t>
  </si>
  <si>
    <t>ABUs</t>
  </si>
  <si>
    <t>RV</t>
  </si>
  <si>
    <t>SVVn</t>
  </si>
  <si>
    <t>Metoda</t>
  </si>
  <si>
    <t>A</t>
  </si>
  <si>
    <t>Kulová výseč</t>
  </si>
  <si>
    <t>Kulová úseč</t>
  </si>
  <si>
    <t>RoVn</t>
  </si>
  <si>
    <t>Poloměr kružnice opsané</t>
  </si>
  <si>
    <t>VRR</t>
  </si>
  <si>
    <t>Kulová vrstva</t>
  </si>
  <si>
    <t>DVV2</t>
  </si>
  <si>
    <t>ABC</t>
  </si>
  <si>
    <t>R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</si>
  <si>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</si>
  <si>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Avn</t>
  </si>
  <si>
    <t>RVV2</t>
  </si>
  <si>
    <t>lb</t>
  </si>
  <si>
    <t>tr oz</t>
  </si>
  <si>
    <t>kg</t>
  </si>
  <si>
    <t>g</t>
  </si>
  <si>
    <t>t</t>
  </si>
  <si>
    <t>Hustota</t>
  </si>
  <si>
    <r>
      <t>kg/m</t>
    </r>
    <r>
      <rPr>
        <vertAlign val="superscript"/>
        <sz val="11"/>
        <color theme="1"/>
        <rFont val="Calibri"/>
        <family val="2"/>
        <charset val="238"/>
        <scheme val="minor"/>
      </rPr>
      <t>3</t>
    </r>
  </si>
  <si>
    <t>kg/l</t>
  </si>
  <si>
    <t>lb/cu ft</t>
  </si>
  <si>
    <r>
      <t>g/cm</t>
    </r>
    <r>
      <rPr>
        <vertAlign val="superscript"/>
        <sz val="11"/>
        <color theme="1"/>
        <rFont val="Calibri"/>
        <family val="2"/>
        <charset val="238"/>
        <scheme val="minor"/>
      </rPr>
      <t>3</t>
    </r>
  </si>
  <si>
    <t xml:space="preserve">Poloměr 3 </t>
  </si>
  <si>
    <t>Obsah plochy VIKLAN Jednotky</t>
  </si>
  <si>
    <t>POROVNÁNÍ HODNOT Z PROGRAMU VIKLAN Jednotky: Tělesa - Paměť objemu</t>
  </si>
  <si>
    <t>POROVNÁNÍ HODNOT Z PROGRAMU VIKLAN Jednotky: Tělesa - Paměť hmotnosti</t>
  </si>
  <si>
    <t>POROVNÁNÍ HODNOT Z PROGRAMU VIKLAN Jednotky: Tělesa - Paměť povrchu</t>
  </si>
  <si>
    <t xml:space="preserve">   Všechny tyto funkce fungují.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</si>
</sst>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%"/>
    <numFmt numFmtId="165" formatCode="[$-405]General"/>
  </numFmts>
  <fonts count="13" x14ac:knownFonts="1">
    <font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4BDE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1DA4FF"/>
        <bgColor indexed="64"/>
      </patternFill>
    </fill>
  </fills>
  <borders count="14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Up="1">
      <left style="medium">
        <color auto="1"/>
      </left>
      <right/>
      <top style="medium">
        <color auto="1"/>
      </top>
      <bottom/>
      <diagonal style="thin">
        <color auto="1"/>
      </diagonal>
    </border>
    <border diagonalUp="1"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/>
      <top style="medium">
        <color auto="1"/>
      </top>
      <bottom style="thin">
        <color auto="1"/>
      </bottom>
      <diagonal style="thin">
        <color auto="1"/>
      </diagonal>
    </border>
    <border diagonalUp="1">
      <left style="thick">
        <color auto="1"/>
      </left>
      <right/>
      <top style="medium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>
      <left/>
      <right/>
      <top style="medium">
        <color auto="1"/>
      </top>
      <bottom style="thin">
        <color auto="1"/>
      </bottom>
      <diagonal style="thin">
        <color auto="1"/>
      </diagonal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medium">
        <color auto="1"/>
      </left>
      <right/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 diagonalUp="1">
      <left style="thick">
        <color auto="1"/>
      </left>
      <right style="thin">
        <color auto="1"/>
      </right>
      <top style="medium">
        <color auto="1"/>
      </top>
      <bottom/>
      <diagonal style="thin">
        <color auto="1"/>
      </diagonal>
    </border>
    <border diagonalUp="1">
      <left/>
      <right/>
      <top style="medium">
        <color auto="1"/>
      </top>
      <bottom/>
      <diagonal style="thin">
        <color auto="1"/>
      </diagonal>
    </border>
    <border diagonalUp="1">
      <left style="thick">
        <color auto="1"/>
      </left>
      <right/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thin">
        <color auto="1"/>
      </right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thick">
        <color auto="1"/>
      </right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Up="1">
      <left style="medium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Up="1">
      <left/>
      <right style="thick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 diagonalUp="1">
      <left style="thick">
        <color auto="1"/>
      </left>
      <right/>
      <top style="thick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 diagonalUp="1">
      <left/>
      <right style="thick">
        <color auto="1"/>
      </right>
      <top style="medium">
        <color auto="1"/>
      </top>
      <bottom/>
      <diagonal style="thin">
        <color auto="1"/>
      </diagonal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 diagonalUp="1"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 style="thin">
        <color auto="1"/>
      </diagonal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 diagonalUp="1">
      <left style="thin">
        <color auto="1"/>
      </left>
      <right/>
      <top style="thick">
        <color auto="1"/>
      </top>
      <bottom style="medium">
        <color auto="1"/>
      </bottom>
      <diagonal style="thin">
        <color auto="1"/>
      </diagonal>
    </border>
    <border diagonalUp="1">
      <left/>
      <right/>
      <top style="thick">
        <color auto="1"/>
      </top>
      <bottom style="medium">
        <color auto="1"/>
      </bottom>
      <diagonal style="thin">
        <color auto="1"/>
      </diagonal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 diagonalUp="1"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 style="thin">
        <color auto="1"/>
      </diagonal>
    </border>
    <border diagonalUp="1">
      <left style="thin">
        <color auto="1"/>
      </left>
      <right/>
      <top style="medium">
        <color auto="1"/>
      </top>
      <bottom style="medium">
        <color auto="1"/>
      </bottom>
      <diagonal style="thin">
        <color auto="1"/>
      </diagonal>
    </border>
    <border diagonalUp="1">
      <left/>
      <right/>
      <top style="medium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 diagonalUp="1">
      <left/>
      <right style="thick">
        <color auto="1"/>
      </right>
      <top style="thick">
        <color auto="1"/>
      </top>
      <bottom style="medium">
        <color auto="1"/>
      </bottom>
      <diagonal style="thin">
        <color auto="1"/>
      </diagonal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3">
    <xf numFmtId="0" fontId="0" fillId="0" borderId="0"/>
    <xf numFmtId="165" fontId="2" fillId="0" borderId="0"/>
    <xf numFmtId="0" fontId="2" fillId="0" borderId="0"/>
  </cellStyleXfs>
  <cellXfs count="1146">
    <xf numFmtId="0" fontId="0" fillId="0" borderId="0" xfId="0"/>
    <xf numFmtId="0" fontId="0" fillId="0" borderId="0" xfId="0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22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32" xfId="0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33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8" borderId="31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15" xfId="0" applyFill="1" applyBorder="1" applyAlignment="1">
      <alignment horizontal="left"/>
    </xf>
    <xf numFmtId="0" fontId="0" fillId="9" borderId="59" xfId="0" applyFill="1" applyBorder="1" applyAlignment="1">
      <alignment horizontal="center"/>
    </xf>
    <xf numFmtId="0" fontId="0" fillId="9" borderId="60" xfId="0" applyFill="1" applyBorder="1" applyAlignment="1">
      <alignment horizontal="center"/>
    </xf>
    <xf numFmtId="0" fontId="0" fillId="9" borderId="62" xfId="0" applyFill="1" applyBorder="1" applyAlignment="1">
      <alignment horizontal="center"/>
    </xf>
    <xf numFmtId="0" fontId="0" fillId="9" borderId="63" xfId="0" applyFill="1" applyBorder="1" applyAlignment="1">
      <alignment horizontal="center"/>
    </xf>
    <xf numFmtId="0" fontId="0" fillId="9" borderId="65" xfId="0" applyFill="1" applyBorder="1" applyAlignment="1">
      <alignment horizontal="center"/>
    </xf>
    <xf numFmtId="0" fontId="0" fillId="9" borderId="66" xfId="0" applyFill="1" applyBorder="1" applyAlignment="1">
      <alignment horizontal="center"/>
    </xf>
    <xf numFmtId="0" fontId="0" fillId="9" borderId="64" xfId="0" applyFill="1" applyBorder="1" applyAlignment="1">
      <alignment horizontal="left"/>
    </xf>
    <xf numFmtId="0" fontId="0" fillId="9" borderId="65" xfId="0" applyFill="1" applyBorder="1" applyAlignment="1">
      <alignment horizontal="left"/>
    </xf>
    <xf numFmtId="0" fontId="0" fillId="9" borderId="54" xfId="0" applyFill="1" applyBorder="1" applyAlignment="1">
      <alignment horizontal="left"/>
    </xf>
    <xf numFmtId="0" fontId="0" fillId="9" borderId="14" xfId="0" applyFill="1" applyBorder="1" applyAlignment="1">
      <alignment horizontal="left"/>
    </xf>
    <xf numFmtId="0" fontId="0" fillId="9" borderId="61" xfId="0" applyFill="1" applyBorder="1" applyAlignment="1">
      <alignment horizontal="left"/>
    </xf>
    <xf numFmtId="0" fontId="0" fillId="9" borderId="62" xfId="0" applyFill="1" applyBorder="1" applyAlignment="1">
      <alignment horizontal="left"/>
    </xf>
    <xf numFmtId="0" fontId="0" fillId="9" borderId="58" xfId="0" applyFill="1" applyBorder="1" applyAlignment="1">
      <alignment horizontal="left"/>
    </xf>
    <xf numFmtId="0" fontId="0" fillId="9" borderId="59" xfId="0" applyFill="1" applyBorder="1" applyAlignment="1">
      <alignment horizontal="left"/>
    </xf>
    <xf numFmtId="0" fontId="0" fillId="9" borderId="55" xfId="0" applyFill="1" applyBorder="1" applyAlignment="1">
      <alignment horizontal="left"/>
    </xf>
    <xf numFmtId="0" fontId="0" fillId="9" borderId="56" xfId="0" applyFill="1" applyBorder="1" applyAlignment="1">
      <alignment horizontal="left"/>
    </xf>
    <xf numFmtId="0" fontId="0" fillId="9" borderId="57" xfId="0" applyFill="1" applyBorder="1" applyAlignment="1">
      <alignment horizontal="left"/>
    </xf>
    <xf numFmtId="0" fontId="8" fillId="10" borderId="11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10" borderId="17" xfId="0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0" borderId="22" xfId="0" applyFill="1" applyBorder="1" applyAlignment="1">
      <alignment horizontal="center" vertical="center"/>
    </xf>
    <xf numFmtId="0" fontId="0" fillId="10" borderId="70" xfId="0" applyFill="1" applyBorder="1" applyAlignment="1">
      <alignment horizontal="center" vertical="center"/>
    </xf>
    <xf numFmtId="0" fontId="0" fillId="10" borderId="71" xfId="0" applyFill="1" applyBorder="1" applyAlignment="1">
      <alignment horizontal="center" vertical="center"/>
    </xf>
    <xf numFmtId="0" fontId="0" fillId="10" borderId="72" xfId="0" applyFill="1" applyBorder="1" applyAlignment="1">
      <alignment horizontal="center" vertical="center"/>
    </xf>
    <xf numFmtId="0" fontId="0" fillId="10" borderId="73" xfId="0" applyFill="1" applyBorder="1" applyAlignment="1">
      <alignment horizontal="center" vertical="center"/>
    </xf>
    <xf numFmtId="0" fontId="0" fillId="10" borderId="74" xfId="0" applyFill="1" applyBorder="1" applyAlignment="1">
      <alignment horizontal="center" vertical="center"/>
    </xf>
    <xf numFmtId="0" fontId="0" fillId="10" borderId="75" xfId="0" applyFill="1" applyBorder="1" applyAlignment="1">
      <alignment horizontal="center" vertical="center"/>
    </xf>
    <xf numFmtId="0" fontId="0" fillId="10" borderId="76" xfId="0" applyFill="1" applyBorder="1" applyAlignment="1">
      <alignment horizontal="center" vertical="center"/>
    </xf>
    <xf numFmtId="0" fontId="0" fillId="10" borderId="77" xfId="0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0" fillId="10" borderId="20" xfId="0" applyFill="1" applyBorder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0" fontId="0" fillId="10" borderId="54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10" borderId="30" xfId="0" applyFill="1" applyBorder="1" applyAlignment="1">
      <alignment horizontal="center" vertical="center"/>
    </xf>
    <xf numFmtId="0" fontId="0" fillId="10" borderId="42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0" fontId="0" fillId="10" borderId="79" xfId="0" applyFill="1" applyBorder="1" applyAlignment="1">
      <alignment horizontal="center" vertical="center"/>
    </xf>
    <xf numFmtId="0" fontId="0" fillId="10" borderId="80" xfId="0" applyFill="1" applyBorder="1" applyAlignment="1">
      <alignment horizontal="center" vertical="center"/>
    </xf>
    <xf numFmtId="0" fontId="0" fillId="10" borderId="82" xfId="0" applyFill="1" applyBorder="1" applyAlignment="1">
      <alignment horizontal="center" vertical="center"/>
    </xf>
    <xf numFmtId="0" fontId="0" fillId="10" borderId="83" xfId="0" applyFill="1" applyBorder="1" applyAlignment="1">
      <alignment horizontal="center" vertical="center"/>
    </xf>
    <xf numFmtId="0" fontId="0" fillId="10" borderId="84" xfId="0" applyFill="1" applyBorder="1" applyAlignment="1">
      <alignment horizontal="center" vertical="center"/>
    </xf>
    <xf numFmtId="0" fontId="0" fillId="10" borderId="85" xfId="0" applyFill="1" applyBorder="1" applyAlignment="1">
      <alignment horizontal="center" vertical="center"/>
    </xf>
    <xf numFmtId="0" fontId="0" fillId="10" borderId="86" xfId="0" applyFill="1" applyBorder="1" applyAlignment="1">
      <alignment horizontal="center" vertical="center"/>
    </xf>
    <xf numFmtId="0" fontId="0" fillId="10" borderId="87" xfId="0" applyFill="1" applyBorder="1" applyAlignment="1">
      <alignment horizontal="center" vertical="center"/>
    </xf>
    <xf numFmtId="0" fontId="0" fillId="10" borderId="88" xfId="0" applyFill="1" applyBorder="1" applyAlignment="1">
      <alignment horizontal="center" vertical="center"/>
    </xf>
    <xf numFmtId="0" fontId="0" fillId="10" borderId="89" xfId="0" applyFill="1" applyBorder="1" applyAlignment="1">
      <alignment horizontal="center" vertical="center"/>
    </xf>
    <xf numFmtId="0" fontId="0" fillId="10" borderId="56" xfId="0" applyFill="1" applyBorder="1" applyAlignment="1">
      <alignment horizontal="center" vertical="center"/>
    </xf>
    <xf numFmtId="0" fontId="0" fillId="10" borderId="91" xfId="0" applyFill="1" applyBorder="1" applyAlignment="1">
      <alignment horizontal="center" vertical="center"/>
    </xf>
    <xf numFmtId="0" fontId="8" fillId="10" borderId="92" xfId="0" applyFont="1" applyFill="1" applyBorder="1" applyAlignment="1">
      <alignment horizontal="center" vertical="center"/>
    </xf>
    <xf numFmtId="0" fontId="8" fillId="10" borderId="93" xfId="0" applyFont="1" applyFill="1" applyBorder="1" applyAlignment="1">
      <alignment horizontal="center" vertical="center"/>
    </xf>
    <xf numFmtId="0" fontId="0" fillId="10" borderId="94" xfId="0" applyFill="1" applyBorder="1" applyAlignment="1">
      <alignment horizontal="center" vertical="center"/>
    </xf>
    <xf numFmtId="0" fontId="0" fillId="10" borderId="95" xfId="0" applyFill="1" applyBorder="1" applyAlignment="1">
      <alignment horizontal="center" vertical="center"/>
    </xf>
    <xf numFmtId="0" fontId="0" fillId="10" borderId="96" xfId="0" applyFill="1" applyBorder="1" applyAlignment="1">
      <alignment horizontal="center" vertical="center"/>
    </xf>
    <xf numFmtId="0" fontId="0" fillId="10" borderId="97" xfId="0" applyFill="1" applyBorder="1" applyAlignment="1">
      <alignment horizontal="center" vertical="center"/>
    </xf>
    <xf numFmtId="0" fontId="0" fillId="10" borderId="98" xfId="0" applyFill="1" applyBorder="1" applyAlignment="1">
      <alignment horizontal="center" vertical="center"/>
    </xf>
    <xf numFmtId="0" fontId="0" fillId="10" borderId="99" xfId="0" applyFill="1" applyBorder="1" applyAlignment="1">
      <alignment horizontal="center" vertical="center"/>
    </xf>
    <xf numFmtId="0" fontId="0" fillId="10" borderId="100" xfId="0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25" xfId="0" applyFill="1" applyBorder="1" applyAlignment="1">
      <alignment horizontal="center" vertical="center"/>
    </xf>
    <xf numFmtId="0" fontId="0" fillId="10" borderId="35" xfId="0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36" xfId="0" applyFill="1" applyBorder="1" applyAlignment="1">
      <alignment horizontal="center" vertical="center"/>
    </xf>
    <xf numFmtId="0" fontId="0" fillId="10" borderId="102" xfId="0" applyFill="1" applyBorder="1" applyAlignment="1">
      <alignment horizontal="center" vertical="center"/>
    </xf>
    <xf numFmtId="11" fontId="0" fillId="10" borderId="12" xfId="0" applyNumberFormat="1" applyFill="1" applyBorder="1" applyAlignment="1">
      <alignment horizontal="center" vertical="center"/>
    </xf>
    <xf numFmtId="0" fontId="0" fillId="10" borderId="93" xfId="0" applyFill="1" applyBorder="1" applyAlignment="1">
      <alignment horizontal="center" vertical="center"/>
    </xf>
    <xf numFmtId="0" fontId="0" fillId="10" borderId="59" xfId="0" applyFill="1" applyBorder="1" applyAlignment="1">
      <alignment horizontal="center" vertical="center"/>
    </xf>
    <xf numFmtId="0" fontId="0" fillId="10" borderId="104" xfId="0" applyFill="1" applyBorder="1" applyAlignment="1">
      <alignment horizontal="center" vertical="center"/>
    </xf>
    <xf numFmtId="0" fontId="0" fillId="10" borderId="105" xfId="0" applyFill="1" applyBorder="1" applyAlignment="1">
      <alignment horizontal="center" vertical="center"/>
    </xf>
    <xf numFmtId="0" fontId="0" fillId="10" borderId="58" xfId="0" applyFill="1" applyBorder="1" applyAlignment="1">
      <alignment horizontal="center" vertical="center"/>
    </xf>
    <xf numFmtId="0" fontId="0" fillId="10" borderId="106" xfId="0" applyFill="1" applyBorder="1" applyAlignment="1">
      <alignment horizontal="center" vertical="center"/>
    </xf>
    <xf numFmtId="0" fontId="0" fillId="10" borderId="107" xfId="0" applyFill="1" applyBorder="1" applyAlignment="1">
      <alignment horizontal="center" vertical="center"/>
    </xf>
    <xf numFmtId="0" fontId="0" fillId="10" borderId="108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10" borderId="18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0" fontId="0" fillId="10" borderId="27" xfId="0" applyFill="1" applyBorder="1" applyAlignment="1">
      <alignment horizontal="center" vertical="center"/>
    </xf>
    <xf numFmtId="0" fontId="0" fillId="10" borderId="29" xfId="0" applyFill="1" applyBorder="1" applyAlignment="1">
      <alignment horizontal="center" vertical="center"/>
    </xf>
    <xf numFmtId="0" fontId="0" fillId="10" borderId="64" xfId="0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0" fillId="10" borderId="3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0" fillId="10" borderId="110" xfId="0" applyFill="1" applyBorder="1" applyAlignment="1">
      <alignment horizontal="center" vertical="center" wrapText="1"/>
    </xf>
    <xf numFmtId="0" fontId="11" fillId="10" borderId="111" xfId="0" applyFont="1" applyFill="1" applyBorder="1" applyAlignment="1">
      <alignment horizontal="center" vertical="center" wrapText="1"/>
    </xf>
    <xf numFmtId="0" fontId="11" fillId="10" borderId="45" xfId="0" applyFont="1" applyFill="1" applyBorder="1" applyAlignment="1">
      <alignment horizontal="center" vertical="center" wrapText="1"/>
    </xf>
    <xf numFmtId="0" fontId="11" fillId="10" borderId="115" xfId="0" applyFont="1" applyFill="1" applyBorder="1" applyAlignment="1">
      <alignment horizontal="center" vertical="center" wrapText="1"/>
    </xf>
    <xf numFmtId="0" fontId="11" fillId="10" borderId="116" xfId="0" applyFont="1" applyFill="1" applyBorder="1" applyAlignment="1">
      <alignment horizontal="center" vertical="center"/>
    </xf>
    <xf numFmtId="0" fontId="11" fillId="10" borderId="45" xfId="0" applyFont="1" applyFill="1" applyBorder="1" applyAlignment="1">
      <alignment horizontal="center" vertical="center"/>
    </xf>
    <xf numFmtId="0" fontId="11" fillId="10" borderId="44" xfId="0" applyFont="1" applyFill="1" applyBorder="1" applyAlignment="1">
      <alignment horizontal="center" vertical="center"/>
    </xf>
    <xf numFmtId="0" fontId="11" fillId="10" borderId="117" xfId="0" applyFont="1" applyFill="1" applyBorder="1" applyAlignment="1">
      <alignment horizontal="center" vertical="center"/>
    </xf>
    <xf numFmtId="0" fontId="11" fillId="10" borderId="118" xfId="0" applyFont="1" applyFill="1" applyBorder="1" applyAlignment="1">
      <alignment horizontal="center" vertical="center"/>
    </xf>
    <xf numFmtId="0" fontId="11" fillId="10" borderId="119" xfId="0" applyFont="1" applyFill="1" applyBorder="1" applyAlignment="1">
      <alignment horizontal="center" vertical="center"/>
    </xf>
    <xf numFmtId="0" fontId="11" fillId="10" borderId="120" xfId="0" applyFont="1" applyFill="1" applyBorder="1" applyAlignment="1">
      <alignment horizontal="center" vertical="center"/>
    </xf>
    <xf numFmtId="0" fontId="0" fillId="3" borderId="0" xfId="0" applyFill="1" applyBorder="1"/>
    <xf numFmtId="0" fontId="0" fillId="3" borderId="78" xfId="0" applyFill="1" applyBorder="1"/>
    <xf numFmtId="0" fontId="0" fillId="3" borderId="14" xfId="0" applyFill="1" applyBorder="1"/>
    <xf numFmtId="0" fontId="0" fillId="3" borderId="15" xfId="0" applyFill="1" applyBorder="1"/>
    <xf numFmtId="0" fontId="0" fillId="11" borderId="123" xfId="0" applyFill="1" applyBorder="1" applyAlignment="1">
      <alignment horizontal="right"/>
    </xf>
    <xf numFmtId="0" fontId="0" fillId="11" borderId="126" xfId="0" applyFill="1" applyBorder="1" applyAlignment="1">
      <alignment horizontal="right"/>
    </xf>
    <xf numFmtId="0" fontId="0" fillId="0" borderId="0" xfId="0" applyAlignment="1">
      <alignment vertical="center" wrapText="1"/>
    </xf>
    <xf numFmtId="0" fontId="5" fillId="12" borderId="1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/>
    </xf>
    <xf numFmtId="0" fontId="11" fillId="8" borderId="36" xfId="0" applyFont="1" applyFill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7" borderId="35" xfId="0" applyFont="1" applyFill="1" applyBorder="1" applyAlignment="1">
      <alignment horizontal="center" vertical="center"/>
    </xf>
    <xf numFmtId="0" fontId="11" fillId="7" borderId="9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0" fontId="8" fillId="13" borderId="13" xfId="0" applyFont="1" applyFill="1" applyBorder="1" applyAlignment="1">
      <alignment horizontal="center" vertical="center"/>
    </xf>
    <xf numFmtId="0" fontId="0" fillId="13" borderId="16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30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 vertical="center"/>
    </xf>
    <xf numFmtId="0" fontId="0" fillId="13" borderId="42" xfId="0" applyFill="1" applyBorder="1" applyAlignment="1">
      <alignment horizontal="center" vertical="center"/>
    </xf>
    <xf numFmtId="0" fontId="0" fillId="13" borderId="39" xfId="0" applyFill="1" applyBorder="1" applyAlignment="1">
      <alignment horizontal="center" vertical="center"/>
    </xf>
    <xf numFmtId="0" fontId="0" fillId="13" borderId="136" xfId="0" applyFill="1" applyBorder="1" applyAlignment="1">
      <alignment horizontal="center" vertical="center"/>
    </xf>
    <xf numFmtId="0" fontId="0" fillId="13" borderId="137" xfId="0" applyFill="1" applyBorder="1" applyAlignment="1">
      <alignment horizontal="center" vertical="center"/>
    </xf>
    <xf numFmtId="0" fontId="0" fillId="13" borderId="107" xfId="0" applyFill="1" applyBorder="1" applyAlignment="1">
      <alignment horizontal="center" vertical="center"/>
    </xf>
    <xf numFmtId="0" fontId="8" fillId="13" borderId="92" xfId="0" applyFont="1" applyFill="1" applyBorder="1" applyAlignment="1">
      <alignment horizontal="center" vertical="center"/>
    </xf>
    <xf numFmtId="0" fontId="0" fillId="13" borderId="93" xfId="0" applyFill="1" applyBorder="1" applyAlignment="1">
      <alignment horizontal="center" vertical="center"/>
    </xf>
    <xf numFmtId="0" fontId="0" fillId="13" borderId="121" xfId="0" applyFill="1" applyBorder="1" applyAlignment="1">
      <alignment horizontal="center" vertical="center"/>
    </xf>
    <xf numFmtId="0" fontId="0" fillId="13" borderId="138" xfId="0" applyFill="1" applyBorder="1" applyAlignment="1">
      <alignment horizontal="center" vertical="center"/>
    </xf>
    <xf numFmtId="0" fontId="0" fillId="13" borderId="139" xfId="0" applyFill="1" applyBorder="1" applyAlignment="1">
      <alignment horizontal="center" vertical="center"/>
    </xf>
    <xf numFmtId="0" fontId="0" fillId="13" borderId="140" xfId="0" applyFill="1" applyBorder="1" applyAlignment="1">
      <alignment horizontal="center" vertical="center"/>
    </xf>
    <xf numFmtId="0" fontId="0" fillId="13" borderId="141" xfId="0" applyFill="1" applyBorder="1" applyAlignment="1">
      <alignment horizontal="center" vertical="center"/>
    </xf>
    <xf numFmtId="0" fontId="0" fillId="13" borderId="92" xfId="0" applyFill="1" applyBorder="1" applyAlignment="1">
      <alignment horizontal="center" vertical="center"/>
    </xf>
    <xf numFmtId="0" fontId="8" fillId="13" borderId="86" xfId="0" applyFont="1" applyFill="1" applyBorder="1" applyAlignment="1">
      <alignment horizontal="center" vertical="center"/>
    </xf>
    <xf numFmtId="0" fontId="0" fillId="13" borderId="89" xfId="0" applyFill="1" applyBorder="1" applyAlignment="1">
      <alignment horizontal="center" vertical="center"/>
    </xf>
    <xf numFmtId="0" fontId="0" fillId="13" borderId="142" xfId="0" applyFill="1" applyBorder="1" applyAlignment="1">
      <alignment horizontal="center" vertical="center"/>
    </xf>
    <xf numFmtId="0" fontId="0" fillId="13" borderId="88" xfId="0" applyFill="1" applyBorder="1" applyAlignment="1">
      <alignment horizontal="center" vertical="center"/>
    </xf>
    <xf numFmtId="0" fontId="0" fillId="13" borderId="82" xfId="0" applyFill="1" applyBorder="1" applyAlignment="1">
      <alignment horizontal="center" vertical="center"/>
    </xf>
    <xf numFmtId="0" fontId="0" fillId="13" borderId="83" xfId="0" applyFill="1" applyBorder="1" applyAlignment="1">
      <alignment horizontal="center" vertical="center"/>
    </xf>
    <xf numFmtId="0" fontId="0" fillId="13" borderId="84" xfId="0" applyFill="1" applyBorder="1" applyAlignment="1">
      <alignment horizontal="center" vertical="center"/>
    </xf>
    <xf numFmtId="0" fontId="0" fillId="13" borderId="114" xfId="0" applyFill="1" applyBorder="1" applyAlignment="1">
      <alignment horizontal="center" vertical="center"/>
    </xf>
    <xf numFmtId="0" fontId="0" fillId="13" borderId="87" xfId="0" applyFill="1" applyBorder="1" applyAlignment="1">
      <alignment horizontal="center" vertical="center"/>
    </xf>
    <xf numFmtId="0" fontId="0" fillId="13" borderId="86" xfId="0" applyFill="1" applyBorder="1" applyAlignment="1">
      <alignment horizontal="center" vertical="center"/>
    </xf>
    <xf numFmtId="1" fontId="0" fillId="13" borderId="121" xfId="0" applyNumberFormat="1" applyFill="1" applyBorder="1" applyAlignment="1">
      <alignment horizontal="center" vertical="center"/>
    </xf>
    <xf numFmtId="1" fontId="0" fillId="13" borderId="139" xfId="0" applyNumberFormat="1" applyFill="1" applyBorder="1" applyAlignment="1">
      <alignment horizontal="center" vertical="center"/>
    </xf>
    <xf numFmtId="1" fontId="0" fillId="13" borderId="92" xfId="0" applyNumberForma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32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25" xfId="0" applyFont="1" applyFill="1" applyBorder="1" applyAlignment="1">
      <alignment horizontal="center" vertical="center" wrapText="1"/>
    </xf>
    <xf numFmtId="0" fontId="11" fillId="6" borderId="25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35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129" xfId="0" applyFont="1" applyFill="1" applyBorder="1" applyAlignment="1">
      <alignment horizontal="center" vertical="center"/>
    </xf>
    <xf numFmtId="0" fontId="11" fillId="6" borderId="36" xfId="0" applyFont="1" applyFill="1" applyBorder="1" applyAlignment="1">
      <alignment horizontal="center" vertical="center"/>
    </xf>
    <xf numFmtId="0" fontId="11" fillId="6" borderId="130" xfId="0" applyFont="1" applyFill="1" applyBorder="1" applyAlignment="1">
      <alignment horizontal="center" vertical="center"/>
    </xf>
    <xf numFmtId="0" fontId="11" fillId="6" borderId="131" xfId="0" applyFont="1" applyFill="1" applyBorder="1" applyAlignment="1">
      <alignment horizontal="center" vertical="center"/>
    </xf>
    <xf numFmtId="0" fontId="8" fillId="6" borderId="92" xfId="0" applyFont="1" applyFill="1" applyBorder="1" applyAlignment="1">
      <alignment horizontal="center" vertical="center"/>
    </xf>
    <xf numFmtId="0" fontId="0" fillId="6" borderId="93" xfId="0" applyFill="1" applyBorder="1" applyAlignment="1">
      <alignment horizontal="center" vertical="center"/>
    </xf>
    <xf numFmtId="0" fontId="0" fillId="6" borderId="121" xfId="0" applyFill="1" applyBorder="1" applyAlignment="1">
      <alignment horizontal="center" vertical="center"/>
    </xf>
    <xf numFmtId="0" fontId="0" fillId="6" borderId="138" xfId="0" applyFill="1" applyBorder="1" applyAlignment="1">
      <alignment horizontal="center" vertical="center"/>
    </xf>
    <xf numFmtId="0" fontId="0" fillId="6" borderId="139" xfId="0" applyFill="1" applyBorder="1" applyAlignment="1">
      <alignment horizontal="center" vertical="center"/>
    </xf>
    <xf numFmtId="0" fontId="0" fillId="6" borderId="140" xfId="0" applyFill="1" applyBorder="1" applyAlignment="1">
      <alignment horizontal="center" vertical="center"/>
    </xf>
    <xf numFmtId="0" fontId="0" fillId="6" borderId="141" xfId="0" applyFill="1" applyBorder="1" applyAlignment="1">
      <alignment horizontal="center" vertical="center"/>
    </xf>
    <xf numFmtId="0" fontId="0" fillId="6" borderId="92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0" fontId="8" fillId="6" borderId="86" xfId="0" applyFont="1" applyFill="1" applyBorder="1" applyAlignment="1">
      <alignment horizontal="center" vertical="center"/>
    </xf>
    <xf numFmtId="0" fontId="0" fillId="6" borderId="89" xfId="0" applyFill="1" applyBorder="1" applyAlignment="1">
      <alignment horizontal="center" vertical="center"/>
    </xf>
    <xf numFmtId="0" fontId="0" fillId="6" borderId="82" xfId="0" applyFill="1" applyBorder="1" applyAlignment="1">
      <alignment horizontal="center" vertical="center"/>
    </xf>
    <xf numFmtId="0" fontId="0" fillId="6" borderId="83" xfId="0" applyFill="1" applyBorder="1" applyAlignment="1">
      <alignment horizontal="center" vertical="center"/>
    </xf>
    <xf numFmtId="0" fontId="0" fillId="6" borderId="84" xfId="0" applyFill="1" applyBorder="1" applyAlignment="1">
      <alignment horizontal="center" vertical="center"/>
    </xf>
    <xf numFmtId="0" fontId="0" fillId="6" borderId="114" xfId="0" applyFill="1" applyBorder="1" applyAlignment="1">
      <alignment horizontal="center" vertical="center"/>
    </xf>
    <xf numFmtId="0" fontId="0" fillId="6" borderId="87" xfId="0" applyFill="1" applyBorder="1" applyAlignment="1">
      <alignment horizontal="center" vertical="center"/>
    </xf>
    <xf numFmtId="0" fontId="0" fillId="6" borderId="86" xfId="0" applyFill="1" applyBorder="1" applyAlignment="1">
      <alignment horizontal="center" vertical="center"/>
    </xf>
    <xf numFmtId="0" fontId="0" fillId="6" borderId="88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164" fontId="11" fillId="6" borderId="53" xfId="0" applyNumberFormat="1" applyFont="1" applyFill="1" applyBorder="1" applyAlignment="1">
      <alignment horizontal="center" vertical="center"/>
    </xf>
    <xf numFmtId="0" fontId="11" fillId="6" borderId="135" xfId="0" applyFont="1" applyFill="1" applyBorder="1" applyAlignment="1">
      <alignment horizontal="center" vertical="center" wrapText="1"/>
    </xf>
    <xf numFmtId="0" fontId="11" fillId="6" borderId="102" xfId="0" applyFont="1" applyFill="1" applyBorder="1" applyAlignment="1">
      <alignment horizontal="center" vertical="center"/>
    </xf>
    <xf numFmtId="0" fontId="0" fillId="6" borderId="137" xfId="0" applyFill="1" applyBorder="1" applyAlignment="1">
      <alignment horizontal="center" vertical="center"/>
    </xf>
    <xf numFmtId="0" fontId="0" fillId="6" borderId="136" xfId="0" applyFill="1" applyBorder="1" applyAlignment="1">
      <alignment horizontal="center" vertical="center"/>
    </xf>
    <xf numFmtId="0" fontId="0" fillId="6" borderId="142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3" borderId="4" xfId="0" applyFill="1" applyBorder="1" applyAlignment="1"/>
    <xf numFmtId="0" fontId="5" fillId="8" borderId="2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8" fillId="14" borderId="13" xfId="0" applyFont="1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20" xfId="0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0" fontId="0" fillId="14" borderId="15" xfId="0" applyFill="1" applyBorder="1" applyAlignment="1">
      <alignment horizontal="center" vertical="center"/>
    </xf>
    <xf numFmtId="0" fontId="0" fillId="14" borderId="30" xfId="0" applyFill="1" applyBorder="1" applyAlignment="1">
      <alignment horizontal="center" vertical="center"/>
    </xf>
    <xf numFmtId="0" fontId="0" fillId="14" borderId="13" xfId="0" applyFill="1" applyBorder="1" applyAlignment="1">
      <alignment horizontal="center" vertical="center"/>
    </xf>
    <xf numFmtId="0" fontId="0" fillId="14" borderId="42" xfId="0" applyFill="1" applyBorder="1" applyAlignment="1">
      <alignment horizontal="center" vertical="center"/>
    </xf>
    <xf numFmtId="0" fontId="0" fillId="13" borderId="40" xfId="0" applyFill="1" applyBorder="1" applyAlignment="1">
      <alignment horizontal="center" vertical="center"/>
    </xf>
    <xf numFmtId="10" fontId="0" fillId="0" borderId="0" xfId="0" applyNumberFormat="1"/>
    <xf numFmtId="0" fontId="5" fillId="15" borderId="1" xfId="0" applyFont="1" applyFill="1" applyBorder="1" applyAlignment="1">
      <alignment horizontal="center" vertical="center"/>
    </xf>
    <xf numFmtId="0" fontId="5" fillId="15" borderId="132" xfId="0" applyFont="1" applyFill="1" applyBorder="1" applyAlignment="1">
      <alignment horizontal="center" vertical="center"/>
    </xf>
    <xf numFmtId="0" fontId="8" fillId="15" borderId="11" xfId="0" applyFont="1" applyFill="1" applyBorder="1" applyAlignment="1">
      <alignment horizontal="center" vertical="center" wrapText="1"/>
    </xf>
    <xf numFmtId="0" fontId="11" fillId="15" borderId="12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 wrapText="1"/>
    </xf>
    <xf numFmtId="0" fontId="8" fillId="15" borderId="25" xfId="0" applyFont="1" applyFill="1" applyBorder="1" applyAlignment="1">
      <alignment horizontal="center" vertical="center" wrapText="1"/>
    </xf>
    <xf numFmtId="0" fontId="11" fillId="15" borderId="25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15" borderId="9" xfId="0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/>
    </xf>
    <xf numFmtId="0" fontId="11" fillId="15" borderId="129" xfId="0" applyFont="1" applyFill="1" applyBorder="1" applyAlignment="1">
      <alignment horizontal="center" vertical="center"/>
    </xf>
    <xf numFmtId="0" fontId="11" fillId="15" borderId="36" xfId="0" applyFont="1" applyFill="1" applyBorder="1" applyAlignment="1">
      <alignment horizontal="center" vertical="center"/>
    </xf>
    <xf numFmtId="0" fontId="11" fillId="15" borderId="130" xfId="0" applyFont="1" applyFill="1" applyBorder="1" applyAlignment="1">
      <alignment horizontal="center" vertical="center"/>
    </xf>
    <xf numFmtId="0" fontId="11" fillId="15" borderId="131" xfId="0" applyFont="1" applyFill="1" applyBorder="1" applyAlignment="1">
      <alignment horizontal="center" vertical="center"/>
    </xf>
    <xf numFmtId="0" fontId="8" fillId="15" borderId="92" xfId="0" applyFont="1" applyFill="1" applyBorder="1" applyAlignment="1">
      <alignment horizontal="center" vertical="center"/>
    </xf>
    <xf numFmtId="0" fontId="0" fillId="15" borderId="93" xfId="0" applyFill="1" applyBorder="1" applyAlignment="1">
      <alignment horizontal="center" vertical="center"/>
    </xf>
    <xf numFmtId="0" fontId="0" fillId="15" borderId="138" xfId="0" applyFill="1" applyBorder="1" applyAlignment="1">
      <alignment horizontal="center" vertical="center"/>
    </xf>
    <xf numFmtId="0" fontId="0" fillId="15" borderId="121" xfId="0" applyFill="1" applyBorder="1" applyAlignment="1">
      <alignment horizontal="center" vertical="center"/>
    </xf>
    <xf numFmtId="0" fontId="0" fillId="15" borderId="140" xfId="0" applyFill="1" applyBorder="1" applyAlignment="1">
      <alignment horizontal="center" vertical="center"/>
    </xf>
    <xf numFmtId="0" fontId="0" fillId="15" borderId="141" xfId="0" applyFill="1" applyBorder="1" applyAlignment="1">
      <alignment horizontal="center" vertical="center"/>
    </xf>
    <xf numFmtId="0" fontId="0" fillId="15" borderId="39" xfId="0" applyFill="1" applyBorder="1" applyAlignment="1">
      <alignment horizontal="center" vertical="center"/>
    </xf>
    <xf numFmtId="0" fontId="8" fillId="15" borderId="13" xfId="0" applyFont="1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5" borderId="14" xfId="0" applyFill="1" applyBorder="1" applyAlignment="1">
      <alignment horizontal="center" vertical="center"/>
    </xf>
    <xf numFmtId="0" fontId="0" fillId="15" borderId="20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5" borderId="30" xfId="0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42" xfId="0" applyFill="1" applyBorder="1" applyAlignment="1">
      <alignment horizontal="center" vertical="center"/>
    </xf>
    <xf numFmtId="0" fontId="8" fillId="15" borderId="86" xfId="0" applyFont="1" applyFill="1" applyBorder="1" applyAlignment="1">
      <alignment horizontal="center" vertical="center"/>
    </xf>
    <xf numFmtId="0" fontId="0" fillId="15" borderId="89" xfId="0" applyFill="1" applyBorder="1" applyAlignment="1">
      <alignment horizontal="center" vertical="center"/>
    </xf>
    <xf numFmtId="0" fontId="0" fillId="15" borderId="82" xfId="0" applyFill="1" applyBorder="1" applyAlignment="1">
      <alignment horizontal="center" vertical="center"/>
    </xf>
    <xf numFmtId="0" fontId="0" fillId="15" borderId="83" xfId="0" applyFill="1" applyBorder="1" applyAlignment="1">
      <alignment horizontal="center" vertical="center"/>
    </xf>
    <xf numFmtId="0" fontId="0" fillId="15" borderId="84" xfId="0" applyFill="1" applyBorder="1" applyAlignment="1">
      <alignment horizontal="center" vertical="center"/>
    </xf>
    <xf numFmtId="0" fontId="0" fillId="15" borderId="114" xfId="0" applyFill="1" applyBorder="1" applyAlignment="1">
      <alignment horizontal="center" vertical="center"/>
    </xf>
    <xf numFmtId="0" fontId="0" fillId="15" borderId="87" xfId="0" applyFill="1" applyBorder="1" applyAlignment="1">
      <alignment horizontal="center" vertical="center"/>
    </xf>
    <xf numFmtId="0" fontId="0" fillId="15" borderId="86" xfId="0" applyFill="1" applyBorder="1" applyAlignment="1">
      <alignment horizontal="center" vertical="center"/>
    </xf>
    <xf numFmtId="0" fontId="0" fillId="15" borderId="88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0" fillId="15" borderId="0" xfId="0" applyFill="1" applyBorder="1" applyAlignment="1">
      <alignment horizontal="center" vertical="center"/>
    </xf>
    <xf numFmtId="0" fontId="0" fillId="15" borderId="5" xfId="0" applyFill="1" applyBorder="1" applyAlignment="1">
      <alignment horizontal="center" vertical="center"/>
    </xf>
    <xf numFmtId="0" fontId="0" fillId="15" borderId="19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  <xf numFmtId="0" fontId="0" fillId="15" borderId="7" xfId="0" applyFill="1" applyBorder="1" applyAlignment="1">
      <alignment horizontal="center" vertical="center"/>
    </xf>
    <xf numFmtId="0" fontId="0" fillId="15" borderId="8" xfId="0" applyFill="1" applyBorder="1" applyAlignment="1">
      <alignment horizontal="center" vertical="center"/>
    </xf>
    <xf numFmtId="164" fontId="11" fillId="15" borderId="53" xfId="0" applyNumberFormat="1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132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 wrapText="1"/>
    </xf>
    <xf numFmtId="0" fontId="11" fillId="13" borderId="12" xfId="0" applyFont="1" applyFill="1" applyBorder="1" applyAlignment="1">
      <alignment horizontal="center" vertical="center" wrapText="1"/>
    </xf>
    <xf numFmtId="0" fontId="8" fillId="13" borderId="9" xfId="0" applyFont="1" applyFill="1" applyBorder="1" applyAlignment="1">
      <alignment horizontal="center" vertical="center" wrapText="1"/>
    </xf>
    <xf numFmtId="0" fontId="8" fillId="13" borderId="25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9" xfId="0" applyFont="1" applyFill="1" applyBorder="1" applyAlignment="1">
      <alignment horizontal="center" vertical="center" wrapText="1"/>
    </xf>
    <xf numFmtId="0" fontId="11" fillId="13" borderId="35" xfId="0" applyFont="1" applyFill="1" applyBorder="1" applyAlignment="1">
      <alignment horizontal="center" vertical="center"/>
    </xf>
    <xf numFmtId="0" fontId="11" fillId="13" borderId="9" xfId="0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11" fillId="13" borderId="129" xfId="0" applyFont="1" applyFill="1" applyBorder="1" applyAlignment="1">
      <alignment horizontal="center" vertical="center"/>
    </xf>
    <xf numFmtId="0" fontId="11" fillId="13" borderId="36" xfId="0" applyFont="1" applyFill="1" applyBorder="1" applyAlignment="1">
      <alignment horizontal="center" vertical="center"/>
    </xf>
    <xf numFmtId="0" fontId="11" fillId="13" borderId="130" xfId="0" applyFont="1" applyFill="1" applyBorder="1" applyAlignment="1">
      <alignment horizontal="center" vertical="center"/>
    </xf>
    <xf numFmtId="0" fontId="11" fillId="13" borderId="131" xfId="0" applyFont="1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3" borderId="19" xfId="0" applyFill="1" applyBorder="1" applyAlignment="1">
      <alignment horizontal="center" vertical="center"/>
    </xf>
    <xf numFmtId="0" fontId="0" fillId="13" borderId="38" xfId="0" applyFill="1" applyBorder="1" applyAlignment="1">
      <alignment horizontal="center" vertical="center"/>
    </xf>
    <xf numFmtId="0" fontId="0" fillId="13" borderId="23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164" fontId="11" fillId="13" borderId="53" xfId="0" applyNumberFormat="1" applyFont="1" applyFill="1" applyBorder="1" applyAlignment="1">
      <alignment horizontal="center" vertical="center"/>
    </xf>
    <xf numFmtId="0" fontId="11" fillId="13" borderId="135" xfId="0" applyFont="1" applyFill="1" applyBorder="1" applyAlignment="1">
      <alignment horizontal="center" vertical="center" wrapText="1"/>
    </xf>
    <xf numFmtId="0" fontId="11" fillId="13" borderId="102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0" fontId="5" fillId="16" borderId="132" xfId="0" applyFont="1" applyFill="1" applyBorder="1" applyAlignment="1">
      <alignment horizontal="center" vertical="center"/>
    </xf>
    <xf numFmtId="0" fontId="8" fillId="16" borderId="11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0" fontId="8" fillId="16" borderId="9" xfId="0" applyFont="1" applyFill="1" applyBorder="1" applyAlignment="1">
      <alignment horizontal="center" vertical="center" wrapText="1"/>
    </xf>
    <xf numFmtId="0" fontId="8" fillId="16" borderId="25" xfId="0" applyFont="1" applyFill="1" applyBorder="1" applyAlignment="1">
      <alignment horizontal="center" vertical="center" wrapText="1"/>
    </xf>
    <xf numFmtId="0" fontId="11" fillId="16" borderId="25" xfId="0" applyFont="1" applyFill="1" applyBorder="1" applyAlignment="1">
      <alignment horizontal="center" vertical="center" wrapText="1"/>
    </xf>
    <xf numFmtId="0" fontId="11" fillId="16" borderId="9" xfId="0" applyFont="1" applyFill="1" applyBorder="1" applyAlignment="1">
      <alignment horizontal="center" vertical="center" wrapText="1"/>
    </xf>
    <xf numFmtId="0" fontId="11" fillId="16" borderId="35" xfId="0" applyFont="1" applyFill="1" applyBorder="1" applyAlignment="1">
      <alignment horizontal="center" vertical="center"/>
    </xf>
    <xf numFmtId="0" fontId="11" fillId="16" borderId="9" xfId="0" applyFont="1" applyFill="1" applyBorder="1" applyAlignment="1">
      <alignment horizontal="center" vertical="center"/>
    </xf>
    <xf numFmtId="0" fontId="11" fillId="16" borderId="11" xfId="0" applyFont="1" applyFill="1" applyBorder="1" applyAlignment="1">
      <alignment horizontal="center" vertical="center"/>
    </xf>
    <xf numFmtId="0" fontId="11" fillId="16" borderId="129" xfId="0" applyFont="1" applyFill="1" applyBorder="1" applyAlignment="1">
      <alignment horizontal="center" vertical="center"/>
    </xf>
    <xf numFmtId="0" fontId="11" fillId="16" borderId="36" xfId="0" applyFont="1" applyFill="1" applyBorder="1" applyAlignment="1">
      <alignment horizontal="center" vertical="center"/>
    </xf>
    <xf numFmtId="0" fontId="11" fillId="16" borderId="130" xfId="0" applyFont="1" applyFill="1" applyBorder="1" applyAlignment="1">
      <alignment horizontal="center" vertical="center"/>
    </xf>
    <xf numFmtId="0" fontId="11" fillId="16" borderId="131" xfId="0" applyFont="1" applyFill="1" applyBorder="1" applyAlignment="1">
      <alignment horizontal="center" vertical="center"/>
    </xf>
    <xf numFmtId="0" fontId="8" fillId="16" borderId="92" xfId="0" applyFont="1" applyFill="1" applyBorder="1" applyAlignment="1">
      <alignment horizontal="center" vertical="center"/>
    </xf>
    <xf numFmtId="0" fontId="0" fillId="16" borderId="93" xfId="0" applyFill="1" applyBorder="1" applyAlignment="1">
      <alignment horizontal="center" vertical="center"/>
    </xf>
    <xf numFmtId="0" fontId="0" fillId="16" borderId="121" xfId="0" applyFill="1" applyBorder="1" applyAlignment="1">
      <alignment horizontal="center" vertical="center"/>
    </xf>
    <xf numFmtId="0" fontId="0" fillId="16" borderId="138" xfId="0" applyFill="1" applyBorder="1" applyAlignment="1">
      <alignment horizontal="center" vertical="center"/>
    </xf>
    <xf numFmtId="0" fontId="0" fillId="16" borderId="139" xfId="0" applyFill="1" applyBorder="1" applyAlignment="1">
      <alignment horizontal="center" vertical="center"/>
    </xf>
    <xf numFmtId="0" fontId="0" fillId="16" borderId="140" xfId="0" applyFill="1" applyBorder="1" applyAlignment="1">
      <alignment horizontal="center" vertical="center"/>
    </xf>
    <xf numFmtId="0" fontId="0" fillId="16" borderId="141" xfId="0" applyFill="1" applyBorder="1" applyAlignment="1">
      <alignment horizontal="center" vertical="center"/>
    </xf>
    <xf numFmtId="0" fontId="0" fillId="16" borderId="92" xfId="0" applyFill="1" applyBorder="1" applyAlignment="1">
      <alignment horizontal="center" vertical="center"/>
    </xf>
    <xf numFmtId="0" fontId="0" fillId="16" borderId="39" xfId="0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/>
    </xf>
    <xf numFmtId="0" fontId="0" fillId="16" borderId="20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0" fillId="16" borderId="30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16" borderId="42" xfId="0" applyFill="1" applyBorder="1" applyAlignment="1">
      <alignment horizontal="center" vertical="center"/>
    </xf>
    <xf numFmtId="0" fontId="8" fillId="16" borderId="86" xfId="0" applyFont="1" applyFill="1" applyBorder="1" applyAlignment="1">
      <alignment horizontal="center" vertical="center"/>
    </xf>
    <xf numFmtId="0" fontId="0" fillId="16" borderId="89" xfId="0" applyFill="1" applyBorder="1" applyAlignment="1">
      <alignment horizontal="center" vertical="center"/>
    </xf>
    <xf numFmtId="0" fontId="0" fillId="16" borderId="82" xfId="0" applyFill="1" applyBorder="1" applyAlignment="1">
      <alignment horizontal="center" vertical="center"/>
    </xf>
    <xf numFmtId="0" fontId="0" fillId="16" borderId="83" xfId="0" applyFill="1" applyBorder="1" applyAlignment="1">
      <alignment horizontal="center" vertical="center"/>
    </xf>
    <xf numFmtId="0" fontId="0" fillId="16" borderId="84" xfId="0" applyFill="1" applyBorder="1" applyAlignment="1">
      <alignment horizontal="center" vertical="center"/>
    </xf>
    <xf numFmtId="0" fontId="0" fillId="16" borderId="114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86" xfId="0" applyFill="1" applyBorder="1" applyAlignment="1">
      <alignment horizontal="center" vertical="center"/>
    </xf>
    <xf numFmtId="0" fontId="0" fillId="16" borderId="88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6" borderId="0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19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23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0" fillId="16" borderId="7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164" fontId="11" fillId="16" borderId="53" xfId="0" applyNumberFormat="1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132" xfId="0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horizontal="center" vertical="center" wrapText="1"/>
    </xf>
    <xf numFmtId="0" fontId="11" fillId="14" borderId="12" xfId="0" applyFont="1" applyFill="1" applyBorder="1" applyAlignment="1">
      <alignment horizontal="center" vertical="center" wrapText="1"/>
    </xf>
    <xf numFmtId="0" fontId="8" fillId="14" borderId="9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11" fillId="14" borderId="25" xfId="0" applyFont="1" applyFill="1" applyBorder="1" applyAlignment="1">
      <alignment horizontal="center" vertical="center" wrapText="1"/>
    </xf>
    <xf numFmtId="0" fontId="11" fillId="14" borderId="9" xfId="0" applyFont="1" applyFill="1" applyBorder="1" applyAlignment="1">
      <alignment horizontal="center" vertical="center" wrapText="1"/>
    </xf>
    <xf numFmtId="0" fontId="11" fillId="14" borderId="35" xfId="0" applyFont="1" applyFill="1" applyBorder="1" applyAlignment="1">
      <alignment horizontal="center" vertical="center"/>
    </xf>
    <xf numFmtId="0" fontId="11" fillId="14" borderId="9" xfId="0" applyFont="1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center" vertical="center"/>
    </xf>
    <xf numFmtId="0" fontId="11" fillId="14" borderId="129" xfId="0" applyFont="1" applyFill="1" applyBorder="1" applyAlignment="1">
      <alignment horizontal="center" vertical="center"/>
    </xf>
    <xf numFmtId="0" fontId="11" fillId="14" borderId="36" xfId="0" applyFont="1" applyFill="1" applyBorder="1" applyAlignment="1">
      <alignment horizontal="center" vertical="center"/>
    </xf>
    <xf numFmtId="0" fontId="11" fillId="14" borderId="130" xfId="0" applyFont="1" applyFill="1" applyBorder="1" applyAlignment="1">
      <alignment horizontal="center" vertical="center"/>
    </xf>
    <xf numFmtId="0" fontId="11" fillId="14" borderId="131" xfId="0" applyFont="1" applyFill="1" applyBorder="1" applyAlignment="1">
      <alignment horizontal="center" vertical="center"/>
    </xf>
    <xf numFmtId="0" fontId="8" fillId="14" borderId="92" xfId="0" applyFont="1" applyFill="1" applyBorder="1" applyAlignment="1">
      <alignment horizontal="center" vertical="center"/>
    </xf>
    <xf numFmtId="0" fontId="0" fillId="14" borderId="93" xfId="0" applyFill="1" applyBorder="1" applyAlignment="1">
      <alignment horizontal="center" vertical="center"/>
    </xf>
    <xf numFmtId="0" fontId="0" fillId="14" borderId="121" xfId="0" applyFill="1" applyBorder="1" applyAlignment="1">
      <alignment horizontal="center" vertical="center"/>
    </xf>
    <xf numFmtId="0" fontId="0" fillId="14" borderId="138" xfId="0" applyFill="1" applyBorder="1" applyAlignment="1">
      <alignment horizontal="center" vertical="center"/>
    </xf>
    <xf numFmtId="0" fontId="0" fillId="14" borderId="139" xfId="0" applyFill="1" applyBorder="1" applyAlignment="1">
      <alignment horizontal="center" vertical="center"/>
    </xf>
    <xf numFmtId="0" fontId="0" fillId="14" borderId="140" xfId="0" applyFill="1" applyBorder="1" applyAlignment="1">
      <alignment horizontal="center" vertical="center"/>
    </xf>
    <xf numFmtId="0" fontId="0" fillId="14" borderId="141" xfId="0" applyFill="1" applyBorder="1" applyAlignment="1">
      <alignment horizontal="center" vertical="center"/>
    </xf>
    <xf numFmtId="0" fontId="0" fillId="14" borderId="92" xfId="0" applyFill="1" applyBorder="1" applyAlignment="1">
      <alignment horizontal="center" vertical="center"/>
    </xf>
    <xf numFmtId="0" fontId="0" fillId="14" borderId="39" xfId="0" applyFill="1" applyBorder="1" applyAlignment="1">
      <alignment horizontal="center" vertical="center"/>
    </xf>
    <xf numFmtId="0" fontId="8" fillId="14" borderId="86" xfId="0" applyFont="1" applyFill="1" applyBorder="1" applyAlignment="1">
      <alignment horizontal="center" vertical="center"/>
    </xf>
    <xf numFmtId="0" fontId="0" fillId="14" borderId="89" xfId="0" applyFill="1" applyBorder="1" applyAlignment="1">
      <alignment horizontal="center" vertical="center"/>
    </xf>
    <xf numFmtId="0" fontId="0" fillId="14" borderId="82" xfId="0" applyFill="1" applyBorder="1" applyAlignment="1">
      <alignment horizontal="center" vertical="center"/>
    </xf>
    <xf numFmtId="0" fontId="0" fillId="14" borderId="83" xfId="0" applyFill="1" applyBorder="1" applyAlignment="1">
      <alignment horizontal="center" vertical="center"/>
    </xf>
    <xf numFmtId="0" fontId="0" fillId="14" borderId="84" xfId="0" applyFill="1" applyBorder="1" applyAlignment="1">
      <alignment horizontal="center" vertical="center"/>
    </xf>
    <xf numFmtId="0" fontId="0" fillId="14" borderId="114" xfId="0" applyFill="1" applyBorder="1" applyAlignment="1">
      <alignment horizontal="center" vertical="center"/>
    </xf>
    <xf numFmtId="0" fontId="0" fillId="14" borderId="87" xfId="0" applyFill="1" applyBorder="1" applyAlignment="1">
      <alignment horizontal="center" vertical="center"/>
    </xf>
    <xf numFmtId="0" fontId="0" fillId="14" borderId="86" xfId="0" applyFill="1" applyBorder="1" applyAlignment="1">
      <alignment horizontal="center" vertical="center"/>
    </xf>
    <xf numFmtId="0" fontId="0" fillId="14" borderId="88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0" fontId="0" fillId="14" borderId="19" xfId="0" applyFill="1" applyBorder="1" applyAlignment="1">
      <alignment horizontal="center" vertical="center"/>
    </xf>
    <xf numFmtId="0" fontId="0" fillId="14" borderId="38" xfId="0" applyFill="1" applyBorder="1" applyAlignment="1">
      <alignment horizontal="center" vertical="center"/>
    </xf>
    <xf numFmtId="0" fontId="0" fillId="14" borderId="23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4" borderId="7" xfId="0" applyFill="1" applyBorder="1" applyAlignment="1">
      <alignment horizontal="center" vertical="center"/>
    </xf>
    <xf numFmtId="0" fontId="0" fillId="14" borderId="8" xfId="0" applyFill="1" applyBorder="1" applyAlignment="1">
      <alignment horizontal="center" vertical="center"/>
    </xf>
    <xf numFmtId="164" fontId="11" fillId="14" borderId="53" xfId="0" applyNumberFormat="1" applyFont="1" applyFill="1" applyBorder="1" applyAlignment="1">
      <alignment horizontal="center" vertical="center"/>
    </xf>
    <xf numFmtId="0" fontId="11" fillId="14" borderId="102" xfId="0" applyFont="1" applyFill="1" applyBorder="1" applyAlignment="1">
      <alignment horizontal="center" vertical="center"/>
    </xf>
    <xf numFmtId="0" fontId="0" fillId="14" borderId="137" xfId="0" applyFill="1" applyBorder="1" applyAlignment="1">
      <alignment horizontal="center" vertical="center"/>
    </xf>
    <xf numFmtId="0" fontId="0" fillId="14" borderId="107" xfId="0" applyFill="1" applyBorder="1" applyAlignment="1">
      <alignment horizontal="center" vertical="center"/>
    </xf>
    <xf numFmtId="0" fontId="0" fillId="14" borderId="136" xfId="0" applyFill="1" applyBorder="1" applyAlignment="1">
      <alignment horizontal="center" vertical="center"/>
    </xf>
    <xf numFmtId="0" fontId="0" fillId="14" borderId="142" xfId="0" applyFill="1" applyBorder="1" applyAlignment="1">
      <alignment horizontal="center" vertical="center"/>
    </xf>
    <xf numFmtId="0" fontId="11" fillId="15" borderId="102" xfId="0" applyFont="1" applyFill="1" applyBorder="1" applyAlignment="1">
      <alignment horizontal="center" vertical="center"/>
    </xf>
    <xf numFmtId="0" fontId="0" fillId="15" borderId="137" xfId="0" applyFill="1" applyBorder="1" applyAlignment="1">
      <alignment horizontal="center" vertical="center"/>
    </xf>
    <xf numFmtId="0" fontId="0" fillId="15" borderId="107" xfId="0" applyFill="1" applyBorder="1" applyAlignment="1">
      <alignment horizontal="center" vertical="center"/>
    </xf>
    <xf numFmtId="0" fontId="0" fillId="15" borderId="139" xfId="0" applyFill="1" applyBorder="1" applyAlignment="1">
      <alignment horizontal="center" vertical="center"/>
    </xf>
    <xf numFmtId="0" fontId="0" fillId="15" borderId="92" xfId="0" applyFill="1" applyBorder="1" applyAlignment="1">
      <alignment horizontal="center" vertical="center"/>
    </xf>
    <xf numFmtId="0" fontId="0" fillId="15" borderId="136" xfId="0" applyFill="1" applyBorder="1" applyAlignment="1">
      <alignment horizontal="center" vertical="center"/>
    </xf>
    <xf numFmtId="0" fontId="0" fillId="15" borderId="40" xfId="0" applyFill="1" applyBorder="1" applyAlignment="1">
      <alignment horizontal="center" vertical="center"/>
    </xf>
    <xf numFmtId="0" fontId="0" fillId="15" borderId="142" xfId="0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1" fillId="4" borderId="35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36" xfId="0" applyFont="1" applyFill="1" applyBorder="1" applyAlignment="1">
      <alignment horizontal="center" vertical="center"/>
    </xf>
    <xf numFmtId="0" fontId="0" fillId="16" borderId="106" xfId="0" applyFill="1" applyBorder="1" applyAlignment="1">
      <alignment horizontal="center" vertical="center"/>
    </xf>
    <xf numFmtId="0" fontId="11" fillId="16" borderId="102" xfId="0" applyFont="1" applyFill="1" applyBorder="1" applyAlignment="1">
      <alignment horizontal="center" vertical="center"/>
    </xf>
    <xf numFmtId="0" fontId="0" fillId="16" borderId="137" xfId="0" applyFill="1" applyBorder="1" applyAlignment="1">
      <alignment horizontal="center" vertical="center"/>
    </xf>
    <xf numFmtId="0" fontId="0" fillId="16" borderId="107" xfId="0" applyFill="1" applyBorder="1" applyAlignment="1">
      <alignment horizontal="center" vertical="center"/>
    </xf>
    <xf numFmtId="11" fontId="0" fillId="16" borderId="93" xfId="0" applyNumberFormat="1" applyFill="1" applyBorder="1" applyAlignment="1">
      <alignment horizontal="center" vertical="center"/>
    </xf>
    <xf numFmtId="0" fontId="0" fillId="16" borderId="136" xfId="0" applyFill="1" applyBorder="1" applyAlignment="1">
      <alignment horizontal="center" vertical="center"/>
    </xf>
    <xf numFmtId="11" fontId="0" fillId="16" borderId="16" xfId="0" applyNumberFormat="1" applyFill="1" applyBorder="1" applyAlignment="1">
      <alignment horizontal="center" vertical="center"/>
    </xf>
    <xf numFmtId="0" fontId="0" fillId="16" borderId="142" xfId="0" applyFill="1" applyBorder="1" applyAlignment="1">
      <alignment horizontal="center" vertical="center"/>
    </xf>
    <xf numFmtId="11" fontId="0" fillId="16" borderId="89" xfId="0" applyNumberFormat="1" applyFill="1" applyBorder="1" applyAlignment="1">
      <alignment horizontal="center" vertical="center"/>
    </xf>
    <xf numFmtId="0" fontId="11" fillId="12" borderId="35" xfId="0" applyFont="1" applyFill="1" applyBorder="1" applyAlignment="1">
      <alignment horizontal="center" vertical="center"/>
    </xf>
    <xf numFmtId="0" fontId="11" fillId="12" borderId="9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12" borderId="36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132" xfId="0" applyFont="1" applyFill="1" applyBorder="1" applyAlignment="1">
      <alignment horizontal="center" vertical="center"/>
    </xf>
    <xf numFmtId="0" fontId="8" fillId="17" borderId="11" xfId="0" applyFont="1" applyFill="1" applyBorder="1" applyAlignment="1">
      <alignment horizontal="center" vertical="center" wrapText="1"/>
    </xf>
    <xf numFmtId="0" fontId="11" fillId="17" borderId="12" xfId="0" applyFont="1" applyFill="1" applyBorder="1" applyAlignment="1">
      <alignment horizontal="center" vertical="center" wrapText="1"/>
    </xf>
    <xf numFmtId="0" fontId="8" fillId="17" borderId="9" xfId="0" applyFont="1" applyFill="1" applyBorder="1" applyAlignment="1">
      <alignment horizontal="center" vertical="center" wrapText="1"/>
    </xf>
    <xf numFmtId="0" fontId="8" fillId="17" borderId="25" xfId="0" applyFont="1" applyFill="1" applyBorder="1" applyAlignment="1">
      <alignment horizontal="center" vertical="center" wrapText="1"/>
    </xf>
    <xf numFmtId="0" fontId="11" fillId="17" borderId="25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35" xfId="0" applyFont="1" applyFill="1" applyBorder="1" applyAlignment="1">
      <alignment horizontal="center" vertical="center"/>
    </xf>
    <xf numFmtId="0" fontId="11" fillId="17" borderId="9" xfId="0" applyFont="1" applyFill="1" applyBorder="1" applyAlignment="1">
      <alignment horizontal="center" vertical="center"/>
    </xf>
    <xf numFmtId="0" fontId="11" fillId="17" borderId="11" xfId="0" applyFont="1" applyFill="1" applyBorder="1" applyAlignment="1">
      <alignment horizontal="center" vertical="center"/>
    </xf>
    <xf numFmtId="0" fontId="11" fillId="17" borderId="129" xfId="0" applyFont="1" applyFill="1" applyBorder="1" applyAlignment="1">
      <alignment horizontal="center" vertical="center"/>
    </xf>
    <xf numFmtId="0" fontId="11" fillId="17" borderId="36" xfId="0" applyFont="1" applyFill="1" applyBorder="1" applyAlignment="1">
      <alignment horizontal="center" vertical="center"/>
    </xf>
    <xf numFmtId="0" fontId="11" fillId="17" borderId="130" xfId="0" applyFont="1" applyFill="1" applyBorder="1" applyAlignment="1">
      <alignment horizontal="center" vertical="center"/>
    </xf>
    <xf numFmtId="0" fontId="11" fillId="17" borderId="131" xfId="0" applyFont="1" applyFill="1" applyBorder="1" applyAlignment="1">
      <alignment horizontal="center" vertical="center"/>
    </xf>
    <xf numFmtId="0" fontId="8" fillId="17" borderId="92" xfId="0" applyFont="1" applyFill="1" applyBorder="1" applyAlignment="1">
      <alignment horizontal="center" vertical="center"/>
    </xf>
    <xf numFmtId="0" fontId="0" fillId="17" borderId="93" xfId="0" applyFill="1" applyBorder="1" applyAlignment="1">
      <alignment horizontal="center" vertical="center"/>
    </xf>
    <xf numFmtId="0" fontId="0" fillId="17" borderId="121" xfId="0" applyFill="1" applyBorder="1" applyAlignment="1">
      <alignment horizontal="center" vertical="center"/>
    </xf>
    <xf numFmtId="0" fontId="0" fillId="17" borderId="138" xfId="0" applyFill="1" applyBorder="1" applyAlignment="1">
      <alignment horizontal="center" vertical="center"/>
    </xf>
    <xf numFmtId="0" fontId="0" fillId="17" borderId="139" xfId="0" applyFill="1" applyBorder="1" applyAlignment="1">
      <alignment horizontal="center" vertical="center"/>
    </xf>
    <xf numFmtId="0" fontId="0" fillId="17" borderId="140" xfId="0" applyFill="1" applyBorder="1" applyAlignment="1">
      <alignment horizontal="center" vertical="center"/>
    </xf>
    <xf numFmtId="0" fontId="0" fillId="17" borderId="141" xfId="0" applyFill="1" applyBorder="1" applyAlignment="1">
      <alignment horizontal="center" vertical="center"/>
    </xf>
    <xf numFmtId="0" fontId="0" fillId="17" borderId="92" xfId="0" applyFill="1" applyBorder="1" applyAlignment="1">
      <alignment horizontal="center" vertical="center"/>
    </xf>
    <xf numFmtId="0" fontId="0" fillId="17" borderId="39" xfId="0" applyFill="1" applyBorder="1" applyAlignment="1">
      <alignment horizontal="center" vertical="center"/>
    </xf>
    <xf numFmtId="0" fontId="8" fillId="17" borderId="13" xfId="0" applyFont="1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0" fillId="17" borderId="20" xfId="0" applyFill="1" applyBorder="1" applyAlignment="1">
      <alignment horizontal="center" vertical="center"/>
    </xf>
    <xf numFmtId="0" fontId="0" fillId="17" borderId="26" xfId="0" applyFill="1" applyBorder="1" applyAlignment="1">
      <alignment horizontal="center" vertical="center"/>
    </xf>
    <xf numFmtId="0" fontId="0" fillId="17" borderId="15" xfId="0" applyFill="1" applyBorder="1" applyAlignment="1">
      <alignment horizontal="center" vertical="center"/>
    </xf>
    <xf numFmtId="0" fontId="0" fillId="17" borderId="30" xfId="0" applyFill="1" applyBorder="1" applyAlignment="1">
      <alignment horizontal="center" vertical="center"/>
    </xf>
    <xf numFmtId="0" fontId="0" fillId="17" borderId="13" xfId="0" applyFill="1" applyBorder="1" applyAlignment="1">
      <alignment horizontal="center" vertical="center"/>
    </xf>
    <xf numFmtId="0" fontId="0" fillId="17" borderId="42" xfId="0" applyFill="1" applyBorder="1" applyAlignment="1">
      <alignment horizontal="center" vertical="center"/>
    </xf>
    <xf numFmtId="0" fontId="8" fillId="17" borderId="86" xfId="0" applyFont="1" applyFill="1" applyBorder="1" applyAlignment="1">
      <alignment horizontal="center" vertical="center"/>
    </xf>
    <xf numFmtId="0" fontId="0" fillId="17" borderId="89" xfId="0" applyFill="1" applyBorder="1" applyAlignment="1">
      <alignment horizontal="center" vertical="center"/>
    </xf>
    <xf numFmtId="0" fontId="0" fillId="17" borderId="82" xfId="0" applyFill="1" applyBorder="1" applyAlignment="1">
      <alignment horizontal="center" vertical="center"/>
    </xf>
    <xf numFmtId="0" fontId="0" fillId="17" borderId="83" xfId="0" applyFill="1" applyBorder="1" applyAlignment="1">
      <alignment horizontal="center" vertical="center"/>
    </xf>
    <xf numFmtId="0" fontId="0" fillId="17" borderId="84" xfId="0" applyFill="1" applyBorder="1" applyAlignment="1">
      <alignment horizontal="center" vertical="center"/>
    </xf>
    <xf numFmtId="0" fontId="0" fillId="17" borderId="114" xfId="0" applyFill="1" applyBorder="1" applyAlignment="1">
      <alignment horizontal="center" vertical="center"/>
    </xf>
    <xf numFmtId="0" fontId="0" fillId="17" borderId="87" xfId="0" applyFill="1" applyBorder="1" applyAlignment="1">
      <alignment horizontal="center" vertical="center"/>
    </xf>
    <xf numFmtId="0" fontId="0" fillId="17" borderId="86" xfId="0" applyFill="1" applyBorder="1" applyAlignment="1">
      <alignment horizontal="center" vertical="center"/>
    </xf>
    <xf numFmtId="0" fontId="0" fillId="17" borderId="88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19" xfId="0" applyFill="1" applyBorder="1" applyAlignment="1">
      <alignment horizontal="center" vertical="center"/>
    </xf>
    <xf numFmtId="0" fontId="0" fillId="17" borderId="38" xfId="0" applyFill="1" applyBorder="1" applyAlignment="1">
      <alignment horizontal="center" vertical="center"/>
    </xf>
    <xf numFmtId="0" fontId="0" fillId="17" borderId="23" xfId="0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7" borderId="7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164" fontId="11" fillId="17" borderId="53" xfId="0" applyNumberFormat="1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11" fillId="14" borderId="135" xfId="0" applyFont="1" applyFill="1" applyBorder="1" applyAlignment="1">
      <alignment horizontal="center" vertical="center" wrapText="1"/>
    </xf>
    <xf numFmtId="0" fontId="11" fillId="15" borderId="135" xfId="0" applyFont="1" applyFill="1" applyBorder="1" applyAlignment="1">
      <alignment horizontal="center" vertical="center" wrapText="1"/>
    </xf>
    <xf numFmtId="0" fontId="11" fillId="16" borderId="13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1" fillId="6" borderId="43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37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/>
    </xf>
    <xf numFmtId="0" fontId="11" fillId="7" borderId="43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37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4" borderId="4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37" xfId="0" applyFont="1" applyFill="1" applyBorder="1" applyAlignment="1">
      <alignment horizontal="center" vertical="center"/>
    </xf>
    <xf numFmtId="0" fontId="11" fillId="8" borderId="43" xfId="0" applyFont="1" applyFill="1" applyBorder="1" applyAlignment="1">
      <alignment horizontal="center" vertical="center"/>
    </xf>
    <xf numFmtId="0" fontId="11" fillId="8" borderId="12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/>
    </xf>
    <xf numFmtId="0" fontId="11" fillId="8" borderId="25" xfId="0" applyFont="1" applyFill="1" applyBorder="1" applyAlignment="1">
      <alignment horizontal="center" vertical="center"/>
    </xf>
    <xf numFmtId="0" fontId="11" fillId="8" borderId="37" xfId="0" applyFont="1" applyFill="1" applyBorder="1" applyAlignment="1">
      <alignment horizontal="center" vertical="center"/>
    </xf>
    <xf numFmtId="164" fontId="11" fillId="6" borderId="53" xfId="0" applyNumberFormat="1" applyFont="1" applyFill="1" applyBorder="1" applyAlignment="1">
      <alignment horizontal="center"/>
    </xf>
    <xf numFmtId="164" fontId="11" fillId="3" borderId="53" xfId="0" applyNumberFormat="1" applyFont="1" applyFill="1" applyBorder="1" applyAlignment="1">
      <alignment horizontal="center"/>
    </xf>
    <xf numFmtId="164" fontId="11" fillId="7" borderId="53" xfId="0" applyNumberFormat="1" applyFont="1" applyFill="1" applyBorder="1" applyAlignment="1">
      <alignment horizontal="center"/>
    </xf>
    <xf numFmtId="164" fontId="11" fillId="2" borderId="53" xfId="0" applyNumberFormat="1" applyFont="1" applyFill="1" applyBorder="1" applyAlignment="1">
      <alignment horizontal="center"/>
    </xf>
    <xf numFmtId="164" fontId="11" fillId="4" borderId="53" xfId="0" applyNumberFormat="1" applyFont="1" applyFill="1" applyBorder="1" applyAlignment="1">
      <alignment horizontal="center"/>
    </xf>
    <xf numFmtId="164" fontId="11" fillId="8" borderId="53" xfId="0" applyNumberFormat="1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11" fillId="18" borderId="11" xfId="0" applyFont="1" applyFill="1" applyBorder="1" applyAlignment="1">
      <alignment horizontal="center" vertical="center"/>
    </xf>
    <xf numFmtId="0" fontId="11" fillId="18" borderId="43" xfId="0" applyFont="1" applyFill="1" applyBorder="1" applyAlignment="1">
      <alignment horizontal="center" vertical="center"/>
    </xf>
    <xf numFmtId="0" fontId="11" fillId="18" borderId="12" xfId="0" applyFont="1" applyFill="1" applyBorder="1" applyAlignment="1">
      <alignment horizontal="center" vertical="center"/>
    </xf>
    <xf numFmtId="0" fontId="11" fillId="18" borderId="9" xfId="0" applyFont="1" applyFill="1" applyBorder="1" applyAlignment="1">
      <alignment horizontal="center" vertical="center"/>
    </xf>
    <xf numFmtId="0" fontId="11" fillId="18" borderId="35" xfId="0" applyFont="1" applyFill="1" applyBorder="1" applyAlignment="1">
      <alignment horizontal="center" vertical="center"/>
    </xf>
    <xf numFmtId="0" fontId="11" fillId="18" borderId="10" xfId="0" applyFont="1" applyFill="1" applyBorder="1" applyAlignment="1">
      <alignment horizontal="center" vertical="center"/>
    </xf>
    <xf numFmtId="0" fontId="11" fillId="18" borderId="25" xfId="0" applyFont="1" applyFill="1" applyBorder="1" applyAlignment="1">
      <alignment horizontal="center" vertical="center"/>
    </xf>
    <xf numFmtId="0" fontId="11" fillId="18" borderId="36" xfId="0" applyFont="1" applyFill="1" applyBorder="1" applyAlignment="1">
      <alignment horizontal="center" vertical="center"/>
    </xf>
    <xf numFmtId="0" fontId="11" fillId="18" borderId="37" xfId="0" applyFont="1" applyFill="1" applyBorder="1" applyAlignment="1">
      <alignment horizontal="center" vertical="center"/>
    </xf>
    <xf numFmtId="0" fontId="0" fillId="18" borderId="4" xfId="0" applyFill="1" applyBorder="1" applyAlignment="1">
      <alignment horizontal="center"/>
    </xf>
    <xf numFmtId="0" fontId="0" fillId="18" borderId="24" xfId="0" applyFill="1" applyBorder="1" applyAlignment="1">
      <alignment horizontal="center"/>
    </xf>
    <xf numFmtId="0" fontId="0" fillId="18" borderId="17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0" fillId="18" borderId="34" xfId="0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0" fontId="0" fillId="18" borderId="22" xfId="0" applyFill="1" applyBorder="1" applyAlignment="1">
      <alignment horizontal="center"/>
    </xf>
    <xf numFmtId="0" fontId="0" fillId="18" borderId="28" xfId="0" applyFill="1" applyBorder="1" applyAlignment="1">
      <alignment horizontal="center"/>
    </xf>
    <xf numFmtId="0" fontId="0" fillId="18" borderId="13" xfId="0" applyFill="1" applyBorder="1" applyAlignment="1">
      <alignment horizontal="center"/>
    </xf>
    <xf numFmtId="0" fontId="0" fillId="18" borderId="32" xfId="0" applyFill="1" applyBorder="1" applyAlignment="1">
      <alignment horizontal="center"/>
    </xf>
    <xf numFmtId="0" fontId="0" fillId="18" borderId="16" xfId="0" applyFill="1" applyBorder="1" applyAlignment="1">
      <alignment horizontal="center"/>
    </xf>
    <xf numFmtId="0" fontId="0" fillId="18" borderId="14" xfId="0" applyFill="1" applyBorder="1" applyAlignment="1">
      <alignment horizontal="center"/>
    </xf>
    <xf numFmtId="0" fontId="0" fillId="18" borderId="26" xfId="0" applyFill="1" applyBorder="1" applyAlignment="1">
      <alignment horizontal="center"/>
    </xf>
    <xf numFmtId="0" fontId="0" fillId="18" borderId="15" xfId="0" applyFill="1" applyBorder="1" applyAlignment="1">
      <alignment horizontal="center"/>
    </xf>
    <xf numFmtId="0" fontId="0" fillId="18" borderId="20" xfId="0" applyFill="1" applyBorder="1" applyAlignment="1">
      <alignment horizontal="center"/>
    </xf>
    <xf numFmtId="0" fontId="0" fillId="18" borderId="30" xfId="0" applyFill="1" applyBorder="1" applyAlignment="1">
      <alignment horizontal="center"/>
    </xf>
    <xf numFmtId="0" fontId="0" fillId="18" borderId="42" xfId="0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18" borderId="33" xfId="0" applyFill="1" applyBorder="1" applyAlignment="1">
      <alignment horizontal="center"/>
    </xf>
    <xf numFmtId="0" fontId="0" fillId="18" borderId="18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27" xfId="0" applyFill="1" applyBorder="1" applyAlignment="1">
      <alignment horizontal="center"/>
    </xf>
    <xf numFmtId="0" fontId="0" fillId="18" borderId="8" xfId="0" applyFill="1" applyBorder="1" applyAlignment="1">
      <alignment horizontal="center"/>
    </xf>
    <xf numFmtId="0" fontId="0" fillId="18" borderId="21" xfId="0" applyFill="1" applyBorder="1" applyAlignment="1">
      <alignment horizontal="center"/>
    </xf>
    <xf numFmtId="0" fontId="0" fillId="18" borderId="29" xfId="0" applyFill="1" applyBorder="1" applyAlignment="1">
      <alignment horizontal="center"/>
    </xf>
    <xf numFmtId="0" fontId="0" fillId="18" borderId="4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19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18" borderId="23" xfId="0" applyFill="1" applyBorder="1" applyAlignment="1">
      <alignment horizontal="center"/>
    </xf>
    <xf numFmtId="164" fontId="11" fillId="18" borderId="53" xfId="0" applyNumberFormat="1" applyFont="1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11" fillId="12" borderId="43" xfId="0" applyFont="1" applyFill="1" applyBorder="1" applyAlignment="1">
      <alignment horizontal="center" vertical="center"/>
    </xf>
    <xf numFmtId="0" fontId="11" fillId="12" borderId="12" xfId="0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horizontal="center" vertical="center"/>
    </xf>
    <xf numFmtId="0" fontId="11" fillId="12" borderId="25" xfId="0" applyFont="1" applyFill="1" applyBorder="1" applyAlignment="1">
      <alignment horizontal="center" vertical="center"/>
    </xf>
    <xf numFmtId="0" fontId="11" fillId="12" borderId="37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/>
    </xf>
    <xf numFmtId="0" fontId="0" fillId="12" borderId="24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34" xfId="0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12" borderId="22" xfId="0" applyFill="1" applyBorder="1" applyAlignment="1">
      <alignment horizontal="center"/>
    </xf>
    <xf numFmtId="0" fontId="0" fillId="12" borderId="2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0" fillId="12" borderId="32" xfId="0" applyFill="1" applyBorder="1" applyAlignment="1">
      <alignment horizontal="center"/>
    </xf>
    <xf numFmtId="0" fontId="0" fillId="12" borderId="16" xfId="0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12" borderId="26" xfId="0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30" xfId="0" applyFill="1" applyBorder="1" applyAlignment="1">
      <alignment horizontal="center"/>
    </xf>
    <xf numFmtId="0" fontId="0" fillId="12" borderId="42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2" borderId="33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12" borderId="27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29" xfId="0" applyFill="1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0" fillId="12" borderId="3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164" fontId="11" fillId="12" borderId="53" xfId="0" applyNumberFormat="1" applyFont="1" applyFill="1" applyBorder="1" applyAlignment="1">
      <alignment horizontal="center"/>
    </xf>
    <xf numFmtId="0" fontId="0" fillId="18" borderId="39" xfId="0" applyFill="1" applyBorder="1" applyAlignment="1">
      <alignment horizontal="center"/>
    </xf>
    <xf numFmtId="0" fontId="11" fillId="13" borderId="43" xfId="0" applyFont="1" applyFill="1" applyBorder="1" applyAlignment="1">
      <alignment horizontal="center" vertical="center"/>
    </xf>
    <xf numFmtId="0" fontId="11" fillId="13" borderId="12" xfId="0" applyFont="1" applyFill="1" applyBorder="1" applyAlignment="1">
      <alignment horizontal="center" vertical="center"/>
    </xf>
    <xf numFmtId="0" fontId="11" fillId="13" borderId="10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37" xfId="0" applyFont="1" applyFill="1" applyBorder="1" applyAlignment="1">
      <alignment horizontal="center" vertical="center"/>
    </xf>
    <xf numFmtId="0" fontId="0" fillId="13" borderId="4" xfId="0" applyFill="1" applyBorder="1" applyAlignment="1">
      <alignment horizontal="center"/>
    </xf>
    <xf numFmtId="0" fontId="0" fillId="13" borderId="24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32" xfId="0" applyFill="1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0" fillId="13" borderId="14" xfId="0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0" fillId="13" borderId="30" xfId="0" applyFill="1" applyBorder="1" applyAlignment="1">
      <alignment horizontal="center"/>
    </xf>
    <xf numFmtId="0" fontId="0" fillId="13" borderId="42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3" borderId="27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29" xfId="0" applyFill="1" applyBorder="1" applyAlignment="1">
      <alignment horizontal="center"/>
    </xf>
    <xf numFmtId="0" fontId="0" fillId="13" borderId="4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19" xfId="0" applyFill="1" applyBorder="1" applyAlignment="1">
      <alignment horizontal="center"/>
    </xf>
    <xf numFmtId="0" fontId="0" fillId="13" borderId="38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164" fontId="11" fillId="13" borderId="53" xfId="0" applyNumberFormat="1" applyFont="1" applyFill="1" applyBorder="1" applyAlignment="1">
      <alignment horizontal="center"/>
    </xf>
    <xf numFmtId="0" fontId="0" fillId="10" borderId="38" xfId="0" applyFill="1" applyBorder="1" applyAlignment="1">
      <alignment horizontal="center" vertical="center"/>
    </xf>
    <xf numFmtId="164" fontId="12" fillId="10" borderId="38" xfId="0" applyNumberFormat="1" applyFont="1" applyFill="1" applyBorder="1" applyAlignment="1">
      <alignment horizontal="center" vertical="center"/>
    </xf>
    <xf numFmtId="0" fontId="0" fillId="3" borderId="0" xfId="0" applyFill="1" applyBorder="1" applyAlignment="1"/>
    <xf numFmtId="0" fontId="5" fillId="9" borderId="44" xfId="0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5" fillId="3" borderId="44" xfId="0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0" fontId="5" fillId="3" borderId="46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/>
    </xf>
    <xf numFmtId="0" fontId="5" fillId="6" borderId="45" xfId="0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0" fillId="6" borderId="47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12" borderId="44" xfId="0" applyFont="1" applyFill="1" applyBorder="1" applyAlignment="1">
      <alignment horizontal="center" vertical="center"/>
    </xf>
    <xf numFmtId="0" fontId="5" fillId="12" borderId="45" xfId="0" applyFont="1" applyFill="1" applyBorder="1" applyAlignment="1">
      <alignment horizontal="center" vertical="center"/>
    </xf>
    <xf numFmtId="0" fontId="5" fillId="12" borderId="46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3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0" fillId="8" borderId="47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0" fillId="8" borderId="4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5" fillId="18" borderId="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8" borderId="3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0" fillId="18" borderId="10" xfId="0" applyFill="1" applyBorder="1" applyAlignment="1">
      <alignment horizontal="center"/>
    </xf>
    <xf numFmtId="0" fontId="0" fillId="18" borderId="47" xfId="0" applyFill="1" applyBorder="1" applyAlignment="1">
      <alignment horizontal="center"/>
    </xf>
    <xf numFmtId="0" fontId="0" fillId="18" borderId="48" xfId="0" applyFill="1" applyBorder="1" applyAlignment="1">
      <alignment horizontal="center"/>
    </xf>
    <xf numFmtId="0" fontId="0" fillId="18" borderId="49" xfId="0" applyFill="1" applyBorder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0" fillId="8" borderId="11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7" borderId="49" xfId="0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0" fontId="0" fillId="13" borderId="48" xfId="0" applyFill="1" applyBorder="1" applyAlignment="1">
      <alignment horizontal="center"/>
    </xf>
    <xf numFmtId="0" fontId="0" fillId="13" borderId="49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6" borderId="50" xfId="0" applyFill="1" applyBorder="1" applyAlignment="1">
      <alignment horizontal="left"/>
    </xf>
    <xf numFmtId="0" fontId="0" fillId="6" borderId="51" xfId="0" applyFill="1" applyBorder="1" applyAlignment="1">
      <alignment horizontal="left"/>
    </xf>
    <xf numFmtId="0" fontId="0" fillId="6" borderId="52" xfId="0" applyFill="1" applyBorder="1" applyAlignment="1">
      <alignment horizontal="left"/>
    </xf>
    <xf numFmtId="0" fontId="0" fillId="2" borderId="47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18" borderId="44" xfId="0" applyFont="1" applyFill="1" applyBorder="1" applyAlignment="1">
      <alignment horizontal="center" vertical="center"/>
    </xf>
    <xf numFmtId="0" fontId="5" fillId="18" borderId="45" xfId="0" applyFont="1" applyFill="1" applyBorder="1" applyAlignment="1">
      <alignment horizontal="center" vertical="center"/>
    </xf>
    <xf numFmtId="0" fontId="5" fillId="18" borderId="46" xfId="0" applyFont="1" applyFill="1" applyBorder="1" applyAlignment="1">
      <alignment horizontal="center" vertical="center"/>
    </xf>
    <xf numFmtId="0" fontId="5" fillId="8" borderId="44" xfId="0" applyFont="1" applyFill="1" applyBorder="1" applyAlignment="1">
      <alignment horizontal="center" vertical="center"/>
    </xf>
    <xf numFmtId="0" fontId="5" fillId="8" borderId="45" xfId="0" applyFont="1" applyFill="1" applyBorder="1" applyAlignment="1">
      <alignment horizontal="center" vertical="center"/>
    </xf>
    <xf numFmtId="0" fontId="5" fillId="8" borderId="46" xfId="0" applyFont="1" applyFill="1" applyBorder="1" applyAlignment="1">
      <alignment horizontal="center" vertical="center"/>
    </xf>
    <xf numFmtId="0" fontId="0" fillId="12" borderId="11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2" borderId="47" xfId="0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5" fillId="8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/>
    </xf>
    <xf numFmtId="0" fontId="5" fillId="4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7" borderId="45" xfId="0" applyFont="1" applyFill="1" applyBorder="1" applyAlignment="1">
      <alignment horizontal="center" vertical="center"/>
    </xf>
    <xf numFmtId="0" fontId="5" fillId="7" borderId="46" xfId="0" applyFont="1" applyFill="1" applyBorder="1" applyAlignment="1">
      <alignment horizontal="center" vertical="center"/>
    </xf>
    <xf numFmtId="0" fontId="5" fillId="13" borderId="44" xfId="0" applyFont="1" applyFill="1" applyBorder="1" applyAlignment="1">
      <alignment horizontal="center" vertical="center"/>
    </xf>
    <xf numFmtId="0" fontId="5" fillId="13" borderId="45" xfId="0" applyFont="1" applyFill="1" applyBorder="1" applyAlignment="1">
      <alignment horizontal="center" vertical="center"/>
    </xf>
    <xf numFmtId="0" fontId="5" fillId="13" borderId="46" xfId="0" applyFont="1" applyFill="1" applyBorder="1" applyAlignment="1">
      <alignment horizontal="center" vertical="center"/>
    </xf>
    <xf numFmtId="0" fontId="0" fillId="13" borderId="11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5" fillId="15" borderId="2" xfId="0" applyFont="1" applyFill="1" applyBorder="1" applyAlignment="1">
      <alignment horizontal="center" vertical="center"/>
    </xf>
    <xf numFmtId="0" fontId="5" fillId="15" borderId="3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0" fillId="15" borderId="11" xfId="0" applyFill="1" applyBorder="1" applyAlignment="1">
      <alignment horizontal="center" vertical="center"/>
    </xf>
    <xf numFmtId="0" fontId="0" fillId="15" borderId="9" xfId="0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0" fillId="15" borderId="47" xfId="0" applyFill="1" applyBorder="1" applyAlignment="1">
      <alignment horizontal="center" vertical="center"/>
    </xf>
    <xf numFmtId="0" fontId="0" fillId="15" borderId="48" xfId="0" applyFill="1" applyBorder="1" applyAlignment="1">
      <alignment horizontal="center" vertical="center"/>
    </xf>
    <xf numFmtId="0" fontId="0" fillId="15" borderId="49" xfId="0" applyFill="1" applyBorder="1" applyAlignment="1">
      <alignment horizontal="center" vertical="center"/>
    </xf>
    <xf numFmtId="0" fontId="5" fillId="15" borderId="110" xfId="0" applyFont="1" applyFill="1" applyBorder="1" applyAlignment="1">
      <alignment horizontal="center" vertical="center"/>
    </xf>
    <xf numFmtId="0" fontId="5" fillId="15" borderId="120" xfId="0" applyFont="1" applyFill="1" applyBorder="1" applyAlignment="1">
      <alignment horizontal="center" vertical="center"/>
    </xf>
    <xf numFmtId="0" fontId="5" fillId="15" borderId="133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5" fillId="14" borderId="3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0" fillId="14" borderId="11" xfId="0" applyFill="1" applyBorder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14" borderId="47" xfId="0" applyFill="1" applyBorder="1" applyAlignment="1">
      <alignment horizontal="center" vertical="center"/>
    </xf>
    <xf numFmtId="0" fontId="0" fillId="14" borderId="48" xfId="0" applyFill="1" applyBorder="1" applyAlignment="1">
      <alignment horizontal="center" vertical="center"/>
    </xf>
    <xf numFmtId="0" fontId="0" fillId="14" borderId="49" xfId="0" applyFill="1" applyBorder="1" applyAlignment="1">
      <alignment horizontal="center" vertical="center"/>
    </xf>
    <xf numFmtId="0" fontId="5" fillId="14" borderId="110" xfId="0" applyFont="1" applyFill="1" applyBorder="1" applyAlignment="1">
      <alignment horizontal="center" vertical="center"/>
    </xf>
    <xf numFmtId="0" fontId="5" fillId="14" borderId="120" xfId="0" applyFont="1" applyFill="1" applyBorder="1" applyAlignment="1">
      <alignment horizontal="center" vertical="center"/>
    </xf>
    <xf numFmtId="0" fontId="5" fillId="14" borderId="133" xfId="0" applyFont="1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47" xfId="0" applyFill="1" applyBorder="1" applyAlignment="1">
      <alignment horizontal="center" vertical="center"/>
    </xf>
    <xf numFmtId="0" fontId="0" fillId="13" borderId="48" xfId="0" applyFill="1" applyBorder="1" applyAlignment="1">
      <alignment horizontal="center" vertical="center"/>
    </xf>
    <xf numFmtId="0" fontId="0" fillId="13" borderId="49" xfId="0" applyFill="1" applyBorder="1" applyAlignment="1">
      <alignment horizontal="center" vertical="center"/>
    </xf>
    <xf numFmtId="0" fontId="5" fillId="13" borderId="110" xfId="0" applyFont="1" applyFill="1" applyBorder="1" applyAlignment="1">
      <alignment horizontal="center" vertical="center"/>
    </xf>
    <xf numFmtId="0" fontId="5" fillId="13" borderId="120" xfId="0" applyFont="1" applyFill="1" applyBorder="1" applyAlignment="1">
      <alignment horizontal="center" vertical="center"/>
    </xf>
    <xf numFmtId="0" fontId="5" fillId="13" borderId="133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47" xfId="0" applyFill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5" fillId="6" borderId="110" xfId="0" applyFont="1" applyFill="1" applyBorder="1" applyAlignment="1">
      <alignment horizontal="center" vertical="center"/>
    </xf>
    <xf numFmtId="0" fontId="5" fillId="6" borderId="120" xfId="0" applyFont="1" applyFill="1" applyBorder="1" applyAlignment="1">
      <alignment horizontal="center" vertical="center"/>
    </xf>
    <xf numFmtId="0" fontId="5" fillId="6" borderId="133" xfId="0" applyFont="1" applyFill="1" applyBorder="1" applyAlignment="1">
      <alignment horizontal="center" vertical="center"/>
    </xf>
    <xf numFmtId="0" fontId="5" fillId="5" borderId="67" xfId="0" applyFont="1" applyFill="1" applyBorder="1" applyAlignment="1">
      <alignment horizontal="center" vertical="center"/>
    </xf>
    <xf numFmtId="0" fontId="0" fillId="0" borderId="9" xfId="0" applyBorder="1" applyAlignment="1"/>
    <xf numFmtId="0" fontId="0" fillId="0" borderId="68" xfId="0" applyBorder="1" applyAlignment="1"/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0" fillId="3" borderId="11" xfId="0" applyFill="1" applyBorder="1" applyAlignment="1"/>
    <xf numFmtId="0" fontId="0" fillId="3" borderId="9" xfId="0" applyFill="1" applyBorder="1" applyAlignment="1"/>
    <xf numFmtId="0" fontId="0" fillId="3" borderId="10" xfId="0" applyFill="1" applyBorder="1" applyAlignment="1"/>
    <xf numFmtId="0" fontId="5" fillId="17" borderId="2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47" xfId="0" applyFill="1" applyBorder="1" applyAlignment="1">
      <alignment horizontal="center" vertical="center"/>
    </xf>
    <xf numFmtId="0" fontId="0" fillId="17" borderId="48" xfId="0" applyFill="1" applyBorder="1" applyAlignment="1">
      <alignment horizontal="center" vertical="center"/>
    </xf>
    <xf numFmtId="0" fontId="0" fillId="17" borderId="49" xfId="0" applyFill="1" applyBorder="1" applyAlignment="1">
      <alignment horizontal="center" vertical="center"/>
    </xf>
    <xf numFmtId="0" fontId="5" fillId="17" borderId="110" xfId="0" applyFont="1" applyFill="1" applyBorder="1" applyAlignment="1">
      <alignment horizontal="center" vertical="center"/>
    </xf>
    <xf numFmtId="0" fontId="5" fillId="17" borderId="120" xfId="0" applyFont="1" applyFill="1" applyBorder="1" applyAlignment="1">
      <alignment horizontal="center" vertical="center"/>
    </xf>
    <xf numFmtId="0" fontId="5" fillId="17" borderId="133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16" borderId="3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47" xfId="0" applyFill="1" applyBorder="1" applyAlignment="1">
      <alignment horizontal="center" vertical="center"/>
    </xf>
    <xf numFmtId="0" fontId="0" fillId="16" borderId="48" xfId="0" applyFill="1" applyBorder="1" applyAlignment="1">
      <alignment horizontal="center" vertical="center"/>
    </xf>
    <xf numFmtId="0" fontId="0" fillId="16" borderId="49" xfId="0" applyFill="1" applyBorder="1" applyAlignment="1">
      <alignment horizontal="center" vertical="center"/>
    </xf>
    <xf numFmtId="0" fontId="5" fillId="16" borderId="110" xfId="0" applyFont="1" applyFill="1" applyBorder="1" applyAlignment="1">
      <alignment horizontal="center" vertical="center"/>
    </xf>
    <xf numFmtId="0" fontId="5" fillId="16" borderId="120" xfId="0" applyFont="1" applyFill="1" applyBorder="1" applyAlignment="1">
      <alignment horizontal="center" vertical="center"/>
    </xf>
    <xf numFmtId="0" fontId="5" fillId="16" borderId="133" xfId="0" applyFont="1" applyFill="1" applyBorder="1" applyAlignment="1">
      <alignment horizontal="center" vertical="center"/>
    </xf>
    <xf numFmtId="0" fontId="0" fillId="11" borderId="124" xfId="0" applyFill="1" applyBorder="1" applyAlignment="1">
      <alignment horizontal="left"/>
    </xf>
    <xf numFmtId="0" fontId="0" fillId="0" borderId="124" xfId="0" applyBorder="1" applyAlignment="1"/>
    <xf numFmtId="0" fontId="0" fillId="0" borderId="125" xfId="0" applyBorder="1" applyAlignment="1"/>
    <xf numFmtId="14" fontId="0" fillId="11" borderId="127" xfId="0" applyNumberFormat="1" applyFill="1" applyBorder="1" applyAlignment="1">
      <alignment horizontal="left"/>
    </xf>
    <xf numFmtId="0" fontId="0" fillId="11" borderId="127" xfId="0" applyFill="1" applyBorder="1" applyAlignment="1">
      <alignment horizontal="left"/>
    </xf>
    <xf numFmtId="0" fontId="0" fillId="0" borderId="127" xfId="0" applyBorder="1" applyAlignment="1"/>
    <xf numFmtId="0" fontId="0" fillId="0" borderId="128" xfId="0" applyBorder="1" applyAlignment="1"/>
    <xf numFmtId="0" fontId="0" fillId="3" borderId="92" xfId="0" applyFill="1" applyBorder="1" applyAlignment="1"/>
    <xf numFmtId="0" fontId="0" fillId="3" borderId="121" xfId="0" applyFill="1" applyBorder="1" applyAlignment="1"/>
    <xf numFmtId="0" fontId="0" fillId="3" borderId="4" xfId="0" applyFill="1" applyBorder="1" applyAlignment="1"/>
    <xf numFmtId="0" fontId="0" fillId="3" borderId="0" xfId="0" applyFill="1" applyAlignment="1"/>
    <xf numFmtId="0" fontId="0" fillId="3" borderId="79" xfId="0" applyFill="1" applyBorder="1" applyAlignment="1"/>
    <xf numFmtId="0" fontId="0" fillId="3" borderId="122" xfId="0" applyFill="1" applyBorder="1" applyAlignment="1"/>
    <xf numFmtId="0" fontId="0" fillId="3" borderId="103" xfId="0" applyFill="1" applyBorder="1" applyAlignment="1"/>
    <xf numFmtId="0" fontId="0" fillId="3" borderId="59" xfId="0" applyFill="1" applyBorder="1" applyAlignment="1"/>
    <xf numFmtId="0" fontId="0" fillId="3" borderId="60" xfId="0" applyFill="1" applyBorder="1" applyAlignment="1"/>
    <xf numFmtId="0" fontId="0" fillId="3" borderId="78" xfId="0" applyFill="1" applyBorder="1" applyAlignment="1"/>
    <xf numFmtId="0" fontId="0" fillId="3" borderId="14" xfId="0" applyFill="1" applyBorder="1" applyAlignment="1"/>
    <xf numFmtId="0" fontId="0" fillId="3" borderId="15" xfId="0" applyFill="1" applyBorder="1" applyAlignment="1"/>
    <xf numFmtId="0" fontId="0" fillId="3" borderId="81" xfId="0" applyFill="1" applyBorder="1" applyAlignment="1"/>
    <xf numFmtId="0" fontId="0" fillId="3" borderId="82" xfId="0" applyFill="1" applyBorder="1" applyAlignment="1"/>
    <xf numFmtId="0" fontId="0" fillId="3" borderId="114" xfId="0" applyFill="1" applyBorder="1" applyAlignment="1"/>
    <xf numFmtId="0" fontId="0" fillId="3" borderId="47" xfId="0" applyFill="1" applyBorder="1" applyAlignment="1"/>
    <xf numFmtId="0" fontId="0" fillId="3" borderId="48" xfId="0" applyFill="1" applyBorder="1" applyAlignment="1"/>
    <xf numFmtId="0" fontId="0" fillId="3" borderId="49" xfId="0" applyFill="1" applyBorder="1" applyAlignment="1"/>
    <xf numFmtId="0" fontId="5" fillId="16" borderId="112" xfId="0" applyFont="1" applyFill="1" applyBorder="1" applyAlignment="1">
      <alignment horizontal="center" vertical="center"/>
    </xf>
    <xf numFmtId="0" fontId="0" fillId="16" borderId="134" xfId="0" applyFill="1" applyBorder="1" applyAlignment="1">
      <alignment horizontal="center" vertical="center"/>
    </xf>
    <xf numFmtId="0" fontId="5" fillId="6" borderId="112" xfId="0" applyFont="1" applyFill="1" applyBorder="1" applyAlignment="1">
      <alignment horizontal="center" vertical="center"/>
    </xf>
    <xf numFmtId="0" fontId="0" fillId="6" borderId="134" xfId="0" applyFill="1" applyBorder="1" applyAlignment="1">
      <alignment horizontal="center" vertical="center"/>
    </xf>
    <xf numFmtId="0" fontId="5" fillId="13" borderId="112" xfId="0" applyFont="1" applyFill="1" applyBorder="1" applyAlignment="1">
      <alignment horizontal="center" vertical="center"/>
    </xf>
    <xf numFmtId="0" fontId="0" fillId="13" borderId="134" xfId="0" applyFill="1" applyBorder="1" applyAlignment="1">
      <alignment horizontal="center" vertical="center"/>
    </xf>
    <xf numFmtId="0" fontId="5" fillId="14" borderId="112" xfId="0" applyFont="1" applyFill="1" applyBorder="1" applyAlignment="1">
      <alignment horizontal="center" vertical="center"/>
    </xf>
    <xf numFmtId="0" fontId="0" fillId="14" borderId="134" xfId="0" applyFill="1" applyBorder="1" applyAlignment="1">
      <alignment horizontal="center" vertical="center"/>
    </xf>
    <xf numFmtId="0" fontId="5" fillId="15" borderId="112" xfId="0" applyFont="1" applyFill="1" applyBorder="1" applyAlignment="1">
      <alignment horizontal="center" vertical="center"/>
    </xf>
    <xf numFmtId="0" fontId="0" fillId="15" borderId="134" xfId="0" applyFill="1" applyBorder="1" applyAlignment="1">
      <alignment horizontal="center" vertical="center"/>
    </xf>
    <xf numFmtId="0" fontId="0" fillId="11" borderId="125" xfId="0" applyFill="1" applyBorder="1" applyAlignment="1">
      <alignment horizontal="left"/>
    </xf>
    <xf numFmtId="0" fontId="0" fillId="11" borderId="128" xfId="0" applyFill="1" applyBorder="1" applyAlignment="1">
      <alignment horizontal="left"/>
    </xf>
    <xf numFmtId="0" fontId="11" fillId="3" borderId="44" xfId="0" applyFont="1" applyFill="1" applyBorder="1" applyAlignment="1">
      <alignment horizontal="center" vertical="center"/>
    </xf>
    <xf numFmtId="0" fontId="8" fillId="0" borderId="45" xfId="0" applyFont="1" applyBorder="1" applyAlignment="1"/>
    <xf numFmtId="0" fontId="8" fillId="0" borderId="46" xfId="0" applyFont="1" applyBorder="1" applyAlignment="1"/>
    <xf numFmtId="0" fontId="0" fillId="0" borderId="10" xfId="0" applyBorder="1" applyAlignment="1"/>
    <xf numFmtId="0" fontId="0" fillId="0" borderId="48" xfId="0" applyBorder="1" applyAlignment="1"/>
    <xf numFmtId="0" fontId="0" fillId="0" borderId="49" xfId="0" applyBorder="1" applyAlignment="1"/>
    <xf numFmtId="0" fontId="0" fillId="3" borderId="143" xfId="0" applyFill="1" applyBorder="1" applyAlignment="1"/>
    <xf numFmtId="0" fontId="0" fillId="0" borderId="56" xfId="0" applyBorder="1" applyAlignment="1"/>
    <xf numFmtId="0" fontId="0" fillId="0" borderId="57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3" borderId="144" xfId="0" applyFill="1" applyBorder="1" applyAlignment="1"/>
    <xf numFmtId="0" fontId="0" fillId="0" borderId="62" xfId="0" applyBorder="1" applyAlignment="1"/>
    <xf numFmtId="0" fontId="0" fillId="0" borderId="63" xfId="0" applyBorder="1" applyAlignment="1"/>
    <xf numFmtId="0" fontId="0" fillId="10" borderId="78" xfId="0" applyFill="1" applyBorder="1" applyAlignment="1">
      <alignment horizontal="center" vertical="center"/>
    </xf>
    <xf numFmtId="0" fontId="0" fillId="10" borderId="15" xfId="0" applyFill="1" applyBorder="1" applyAlignment="1">
      <alignment horizontal="center" vertical="center"/>
    </xf>
    <xf numFmtId="0" fontId="11" fillId="10" borderId="112" xfId="0" applyFont="1" applyFill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0" fillId="10" borderId="69" xfId="0" applyFill="1" applyBorder="1" applyAlignment="1">
      <alignment horizontal="center" vertical="center"/>
    </xf>
    <xf numFmtId="0" fontId="0" fillId="10" borderId="113" xfId="0" applyFill="1" applyBorder="1" applyAlignment="1">
      <alignment horizontal="center" vertical="center"/>
    </xf>
    <xf numFmtId="0" fontId="0" fillId="10" borderId="81" xfId="0" applyFill="1" applyBorder="1" applyAlignment="1">
      <alignment horizontal="center" vertical="center"/>
    </xf>
    <xf numFmtId="0" fontId="0" fillId="10" borderId="114" xfId="0" applyFill="1" applyBorder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01" xfId="0" applyFill="1" applyBorder="1" applyAlignment="1">
      <alignment horizontal="center" vertical="center"/>
    </xf>
    <xf numFmtId="0" fontId="8" fillId="10" borderId="24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10" borderId="67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0" borderId="103" xfId="0" applyFill="1" applyBorder="1" applyAlignment="1">
      <alignment horizontal="center" vertical="center"/>
    </xf>
    <xf numFmtId="0" fontId="0" fillId="10" borderId="60" xfId="0" applyFill="1" applyBorder="1" applyAlignment="1">
      <alignment horizontal="center" vertical="center"/>
    </xf>
    <xf numFmtId="0" fontId="0" fillId="10" borderId="109" xfId="0" applyFill="1" applyBorder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47" xfId="0" applyFill="1" applyBorder="1" applyAlignment="1">
      <alignment horizontal="center" vertical="center"/>
    </xf>
    <xf numFmtId="0" fontId="0" fillId="10" borderId="48" xfId="0" applyFill="1" applyBorder="1" applyAlignment="1">
      <alignment horizontal="center" vertical="center"/>
    </xf>
  </cellXfs>
  <cellStyles count="3">
    <cellStyle name="Excel Built-in Normal" xfId="1"/>
    <cellStyle name="Excel Built-in Normal 1" xfId="2"/>
    <cellStyle name="Normální" xfId="0" builtinId="0"/>
  </cellStyles>
  <dxfs count="8"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DA4FF"/>
      <color rgb="FF44BDE8"/>
      <color rgb="FF3BA0BB"/>
      <color rgb="FFC9C9FF"/>
      <color rgb="FFD1D1FF"/>
      <color rgb="FF6D90FF"/>
      <color rgb="FF7E81F2"/>
      <color rgb="FF6699FF"/>
      <color rgb="FF9797FF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47625</xdr:colOff>
      <xdr:row>64</xdr:row>
      <xdr:rowOff>23812</xdr:rowOff>
    </xdr:from>
    <xdr:to>
      <xdr:col>37</xdr:col>
      <xdr:colOff>104774</xdr:colOff>
      <xdr:row>81</xdr:row>
      <xdr:rowOff>51026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7250" y="12596812"/>
          <a:ext cx="9165431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50007</xdr:colOff>
      <xdr:row>104</xdr:row>
      <xdr:rowOff>19050</xdr:rowOff>
    </xdr:from>
    <xdr:to>
      <xdr:col>37</xdr:col>
      <xdr:colOff>259556</xdr:colOff>
      <xdr:row>122</xdr:row>
      <xdr:rowOff>74840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7707" y="20002500"/>
          <a:ext cx="9353550" cy="3638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19050</xdr:colOff>
      <xdr:row>44</xdr:row>
      <xdr:rowOff>0</xdr:rowOff>
    </xdr:from>
    <xdr:to>
      <xdr:col>36</xdr:col>
      <xdr:colOff>114299</xdr:colOff>
      <xdr:row>61</xdr:row>
      <xdr:rowOff>103414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906750" y="8553450"/>
          <a:ext cx="8629650" cy="3495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38100</xdr:colOff>
      <xdr:row>84</xdr:row>
      <xdr:rowOff>9525</xdr:rowOff>
    </xdr:from>
    <xdr:to>
      <xdr:col>36</xdr:col>
      <xdr:colOff>552449</xdr:colOff>
      <xdr:row>101</xdr:row>
      <xdr:rowOff>36739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925800" y="16182975"/>
          <a:ext cx="9048750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28575</xdr:colOff>
      <xdr:row>143</xdr:row>
      <xdr:rowOff>28575</xdr:rowOff>
    </xdr:from>
    <xdr:to>
      <xdr:col>37</xdr:col>
      <xdr:colOff>590549</xdr:colOff>
      <xdr:row>162</xdr:row>
      <xdr:rowOff>112939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16275" y="27441525"/>
          <a:ext cx="9705975" cy="385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38100</xdr:colOff>
      <xdr:row>124</xdr:row>
      <xdr:rowOff>9525</xdr:rowOff>
    </xdr:from>
    <xdr:to>
      <xdr:col>39</xdr:col>
      <xdr:colOff>66675</xdr:colOff>
      <xdr:row>141</xdr:row>
      <xdr:rowOff>36739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25800" y="23802975"/>
          <a:ext cx="10391775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47625</xdr:colOff>
      <xdr:row>4</xdr:row>
      <xdr:rowOff>19050</xdr:rowOff>
    </xdr:from>
    <xdr:to>
      <xdr:col>38</xdr:col>
      <xdr:colOff>142875</xdr:colOff>
      <xdr:row>21</xdr:row>
      <xdr:rowOff>46264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35325" y="952500"/>
          <a:ext cx="9848850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38100</xdr:colOff>
      <xdr:row>164</xdr:row>
      <xdr:rowOff>9525</xdr:rowOff>
    </xdr:from>
    <xdr:to>
      <xdr:col>39</xdr:col>
      <xdr:colOff>247650</xdr:colOff>
      <xdr:row>181</xdr:row>
      <xdr:rowOff>36740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925800" y="31422975"/>
          <a:ext cx="10572750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57150</xdr:colOff>
      <xdr:row>24</xdr:row>
      <xdr:rowOff>47625</xdr:rowOff>
    </xdr:from>
    <xdr:to>
      <xdr:col>40</xdr:col>
      <xdr:colOff>228598</xdr:colOff>
      <xdr:row>41</xdr:row>
      <xdr:rowOff>74840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534275" y="4786313"/>
          <a:ext cx="11101387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38100</xdr:colOff>
      <xdr:row>58</xdr:row>
      <xdr:rowOff>171450</xdr:rowOff>
    </xdr:from>
    <xdr:to>
      <xdr:col>49</xdr:col>
      <xdr:colOff>295275</xdr:colOff>
      <xdr:row>70</xdr:row>
      <xdr:rowOff>21431</xdr:rowOff>
    </xdr:to>
    <xdr:pic>
      <xdr:nvPicPr>
        <xdr:cNvPr id="3326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15375" y="14049375"/>
          <a:ext cx="9401174" cy="2764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34</xdr:col>
      <xdr:colOff>28575</xdr:colOff>
      <xdr:row>2</xdr:row>
      <xdr:rowOff>152400</xdr:rowOff>
    </xdr:from>
    <xdr:to>
      <xdr:col>49</xdr:col>
      <xdr:colOff>276225</xdr:colOff>
      <xdr:row>13</xdr:row>
      <xdr:rowOff>202406</xdr:rowOff>
    </xdr:to>
    <xdr:pic>
      <xdr:nvPicPr>
        <xdr:cNvPr id="3327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0" y="723900"/>
          <a:ext cx="9391649" cy="2764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34</xdr:col>
      <xdr:colOff>28575</xdr:colOff>
      <xdr:row>30</xdr:row>
      <xdr:rowOff>152400</xdr:rowOff>
    </xdr:from>
    <xdr:to>
      <xdr:col>49</xdr:col>
      <xdr:colOff>276225</xdr:colOff>
      <xdr:row>42</xdr:row>
      <xdr:rowOff>30957</xdr:rowOff>
    </xdr:to>
    <xdr:pic>
      <xdr:nvPicPr>
        <xdr:cNvPr id="3329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05850" y="7524750"/>
          <a:ext cx="9391649" cy="2764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34</xdr:col>
      <xdr:colOff>38100</xdr:colOff>
      <xdr:row>44</xdr:row>
      <xdr:rowOff>161925</xdr:rowOff>
    </xdr:from>
    <xdr:to>
      <xdr:col>48</xdr:col>
      <xdr:colOff>180974</xdr:colOff>
      <xdr:row>56</xdr:row>
      <xdr:rowOff>40482</xdr:rowOff>
    </xdr:to>
    <xdr:pic>
      <xdr:nvPicPr>
        <xdr:cNvPr id="3330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5375" y="10982325"/>
          <a:ext cx="8677274" cy="2764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34</xdr:col>
      <xdr:colOff>28575</xdr:colOff>
      <xdr:row>73</xdr:row>
      <xdr:rowOff>171450</xdr:rowOff>
    </xdr:from>
    <xdr:to>
      <xdr:col>49</xdr:col>
      <xdr:colOff>276225</xdr:colOff>
      <xdr:row>85</xdr:row>
      <xdr:rowOff>50006</xdr:rowOff>
    </xdr:to>
    <xdr:pic>
      <xdr:nvPicPr>
        <xdr:cNvPr id="3369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05850" y="17097375"/>
          <a:ext cx="9391649" cy="2764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34</xdr:col>
      <xdr:colOff>28575</xdr:colOff>
      <xdr:row>16</xdr:row>
      <xdr:rowOff>161925</xdr:rowOff>
    </xdr:from>
    <xdr:to>
      <xdr:col>49</xdr:col>
      <xdr:colOff>95251</xdr:colOff>
      <xdr:row>28</xdr:row>
      <xdr:rowOff>38100</xdr:rowOff>
    </xdr:to>
    <xdr:pic>
      <xdr:nvPicPr>
        <xdr:cNvPr id="3419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05850" y="4086225"/>
          <a:ext cx="9210675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38100</xdr:colOff>
      <xdr:row>17</xdr:row>
      <xdr:rowOff>0</xdr:rowOff>
    </xdr:from>
    <xdr:to>
      <xdr:col>51</xdr:col>
      <xdr:colOff>133350</xdr:colOff>
      <xdr:row>27</xdr:row>
      <xdr:rowOff>9865</xdr:rowOff>
    </xdr:to>
    <xdr:pic>
      <xdr:nvPicPr>
        <xdr:cNvPr id="4329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01225" y="4086225"/>
          <a:ext cx="9239250" cy="2543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28575</xdr:colOff>
      <xdr:row>31</xdr:row>
      <xdr:rowOff>9525</xdr:rowOff>
    </xdr:from>
    <xdr:to>
      <xdr:col>50</xdr:col>
      <xdr:colOff>533400</xdr:colOff>
      <xdr:row>41</xdr:row>
      <xdr:rowOff>19389</xdr:rowOff>
    </xdr:to>
    <xdr:pic>
      <xdr:nvPicPr>
        <xdr:cNvPr id="3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91700" y="7381875"/>
          <a:ext cx="9039225" cy="2543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38100</xdr:colOff>
      <xdr:row>45</xdr:row>
      <xdr:rowOff>0</xdr:rowOff>
    </xdr:from>
    <xdr:to>
      <xdr:col>50</xdr:col>
      <xdr:colOff>171450</xdr:colOff>
      <xdr:row>55</xdr:row>
      <xdr:rowOff>7144</xdr:rowOff>
    </xdr:to>
    <xdr:pic>
      <xdr:nvPicPr>
        <xdr:cNvPr id="4343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01225" y="10658475"/>
          <a:ext cx="8667750" cy="25407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38100</xdr:colOff>
      <xdr:row>3</xdr:row>
      <xdr:rowOff>0</xdr:rowOff>
    </xdr:from>
    <xdr:to>
      <xdr:col>51</xdr:col>
      <xdr:colOff>142875</xdr:colOff>
      <xdr:row>13</xdr:row>
      <xdr:rowOff>9525</xdr:rowOff>
    </xdr:to>
    <xdr:pic>
      <xdr:nvPicPr>
        <xdr:cNvPr id="4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01225" y="771525"/>
          <a:ext cx="9248775" cy="2543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36</xdr:col>
      <xdr:colOff>28575</xdr:colOff>
      <xdr:row>58</xdr:row>
      <xdr:rowOff>0</xdr:rowOff>
    </xdr:from>
    <xdr:to>
      <xdr:col>51</xdr:col>
      <xdr:colOff>295275</xdr:colOff>
      <xdr:row>68</xdr:row>
      <xdr:rowOff>9525</xdr:rowOff>
    </xdr:to>
    <xdr:pic>
      <xdr:nvPicPr>
        <xdr:cNvPr id="4356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91700" y="13782675"/>
          <a:ext cx="9410700" cy="2543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47625</xdr:colOff>
      <xdr:row>1</xdr:row>
      <xdr:rowOff>47625</xdr:rowOff>
    </xdr:from>
    <xdr:to>
      <xdr:col>53</xdr:col>
      <xdr:colOff>265226</xdr:colOff>
      <xdr:row>44</xdr:row>
      <xdr:rowOff>65673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4525" y="295275"/>
          <a:ext cx="11800001" cy="80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X297"/>
  <sheetViews>
    <sheetView tabSelected="1" zoomScaleNormal="100" workbookViewId="0">
      <pane ySplit="4" topLeftCell="A5" activePane="bottomLeft" state="frozen"/>
      <selection pane="bottomLeft"/>
    </sheetView>
  </sheetViews>
  <sheetFormatPr defaultRowHeight="15" customHeight="1" x14ac:dyDescent="0.25"/>
  <cols>
    <col min="1" max="1" width="3.7109375" style="1" customWidth="1"/>
    <col min="2" max="2" width="15.28515625" style="1" customWidth="1"/>
    <col min="3" max="6" width="9.140625" style="1" hidden="1" customWidth="1"/>
    <col min="7" max="7" width="6.7109375" style="1" hidden="1" customWidth="1"/>
    <col min="8" max="8" width="7.140625" style="1" hidden="1" customWidth="1"/>
    <col min="9" max="10" width="12.5703125" style="1" hidden="1" customWidth="1"/>
    <col min="11" max="11" width="8.5703125" style="1" hidden="1" customWidth="1"/>
    <col min="12" max="12" width="11.7109375" style="1" hidden="1" customWidth="1"/>
    <col min="13" max="13" width="16.28515625" style="1" customWidth="1"/>
    <col min="14" max="14" width="10" style="1" bestFit="1" customWidth="1"/>
    <col min="15" max="15" width="13.42578125" style="1" bestFit="1" customWidth="1"/>
    <col min="16" max="16" width="3" style="1" hidden="1" customWidth="1"/>
    <col min="17" max="17" width="6.85546875" style="1" bestFit="1" customWidth="1"/>
    <col min="18" max="18" width="17.7109375" style="1" bestFit="1" customWidth="1"/>
    <col min="19" max="19" width="13.140625" style="1" hidden="1" customWidth="1"/>
    <col min="20" max="20" width="22.7109375" style="1" bestFit="1" customWidth="1"/>
    <col min="21" max="21" width="13.140625" style="1" hidden="1" customWidth="1"/>
    <col min="22" max="22" width="10" style="1" bestFit="1" customWidth="1"/>
    <col min="23" max="38" width="9.140625" style="1"/>
    <col min="39" max="39" width="9.140625" style="1" customWidth="1"/>
    <col min="40" max="16384" width="9.140625" style="1"/>
  </cols>
  <sheetData>
    <row r="2" spans="2:22" ht="21" x14ac:dyDescent="0.35">
      <c r="E2" s="95"/>
      <c r="F2" s="95"/>
      <c r="G2" s="95"/>
      <c r="M2" s="960" t="s">
        <v>109</v>
      </c>
      <c r="N2" s="961"/>
      <c r="O2" s="961"/>
      <c r="P2" s="961"/>
      <c r="Q2" s="961"/>
      <c r="R2" s="961"/>
      <c r="S2" s="961"/>
      <c r="T2" s="961"/>
    </row>
    <row r="3" spans="2:22" ht="18.75" x14ac:dyDescent="0.3">
      <c r="E3" s="95"/>
      <c r="F3" s="95"/>
      <c r="G3" s="95"/>
    </row>
    <row r="4" spans="2:22" ht="18.75" x14ac:dyDescent="0.3">
      <c r="E4" s="95"/>
      <c r="F4" s="95"/>
      <c r="G4" s="95"/>
      <c r="M4" s="954" t="s">
        <v>47</v>
      </c>
      <c r="N4" s="955"/>
      <c r="O4" s="956"/>
      <c r="R4" s="954" t="s">
        <v>48</v>
      </c>
      <c r="S4" s="956"/>
    </row>
    <row r="6" spans="2:22" ht="15" customHeight="1" thickBot="1" x14ac:dyDescent="0.3"/>
    <row r="7" spans="2:22" s="716" customFormat="1" ht="20.100000000000001" customHeight="1" thickTop="1" thickBot="1" x14ac:dyDescent="0.3">
      <c r="B7" s="754" t="s">
        <v>27</v>
      </c>
      <c r="C7" s="962" t="s">
        <v>28</v>
      </c>
      <c r="D7" s="963"/>
      <c r="E7" s="963"/>
      <c r="F7" s="963"/>
      <c r="G7" s="963"/>
      <c r="H7" s="963"/>
      <c r="I7" s="963"/>
      <c r="J7" s="963"/>
      <c r="K7" s="963"/>
      <c r="L7" s="964"/>
      <c r="M7" s="921" t="s">
        <v>13</v>
      </c>
      <c r="N7" s="923"/>
      <c r="O7" s="755"/>
      <c r="P7" s="755"/>
      <c r="Q7" s="755"/>
      <c r="R7" s="921" t="s">
        <v>14</v>
      </c>
      <c r="S7" s="922"/>
      <c r="T7" s="922"/>
      <c r="U7" s="922"/>
      <c r="V7" s="923"/>
    </row>
    <row r="8" spans="2:22" s="714" customFormat="1" ht="17.100000000000001" customHeight="1" thickBot="1" x14ac:dyDescent="0.3">
      <c r="B8" s="756"/>
      <c r="C8" s="757" t="s">
        <v>40</v>
      </c>
      <c r="D8" s="758" t="s">
        <v>39</v>
      </c>
      <c r="E8" s="758" t="s">
        <v>38</v>
      </c>
      <c r="F8" s="758" t="s">
        <v>37</v>
      </c>
      <c r="G8" s="758" t="s">
        <v>41</v>
      </c>
      <c r="H8" s="758" t="s">
        <v>42</v>
      </c>
      <c r="I8" s="758" t="s">
        <v>43</v>
      </c>
      <c r="J8" s="758" t="s">
        <v>44</v>
      </c>
      <c r="K8" s="758" t="s">
        <v>36</v>
      </c>
      <c r="L8" s="759" t="s">
        <v>46</v>
      </c>
      <c r="M8" s="760" t="s">
        <v>24</v>
      </c>
      <c r="N8" s="761" t="s">
        <v>12</v>
      </c>
      <c r="O8" s="759" t="s">
        <v>9</v>
      </c>
      <c r="P8" s="762"/>
      <c r="Q8" s="763" t="s">
        <v>10</v>
      </c>
      <c r="R8" s="760" t="s">
        <v>11</v>
      </c>
      <c r="S8" s="764"/>
      <c r="T8" s="758" t="s">
        <v>25</v>
      </c>
      <c r="U8" s="759"/>
      <c r="V8" s="763" t="s">
        <v>12</v>
      </c>
    </row>
    <row r="9" spans="2:22" ht="15.95" customHeight="1" x14ac:dyDescent="0.25">
      <c r="B9" s="765" t="s">
        <v>29</v>
      </c>
      <c r="C9" s="766">
        <v>6</v>
      </c>
      <c r="D9" s="767"/>
      <c r="E9" s="767"/>
      <c r="F9" s="767"/>
      <c r="G9" s="767"/>
      <c r="H9" s="767"/>
      <c r="I9" s="767"/>
      <c r="J9" s="767"/>
      <c r="K9" s="767"/>
      <c r="L9" s="768"/>
      <c r="M9" s="769">
        <f>C9^2/100</f>
        <v>0.36</v>
      </c>
      <c r="N9" s="770" t="s">
        <v>0</v>
      </c>
      <c r="O9" s="768" t="s">
        <v>22</v>
      </c>
      <c r="P9" s="771">
        <f>IF(O9="PLUS",1,IF(O9="MINUS",-1,0))</f>
        <v>1</v>
      </c>
      <c r="Q9" s="772">
        <v>3</v>
      </c>
      <c r="R9" s="765">
        <f>M9</f>
        <v>0.36</v>
      </c>
      <c r="S9" s="839">
        <f>P9*Q9*R9</f>
        <v>1.08</v>
      </c>
      <c r="T9" s="767">
        <v>0.36</v>
      </c>
      <c r="U9" s="768">
        <f>P9*Q9*T9</f>
        <v>1.08</v>
      </c>
      <c r="V9" s="772" t="s">
        <v>0</v>
      </c>
    </row>
    <row r="10" spans="2:22" ht="15.95" customHeight="1" x14ac:dyDescent="0.25">
      <c r="B10" s="773" t="s">
        <v>31</v>
      </c>
      <c r="C10" s="774"/>
      <c r="D10" s="775"/>
      <c r="E10" s="775"/>
      <c r="F10" s="775"/>
      <c r="G10" s="775"/>
      <c r="H10" s="775"/>
      <c r="I10" s="775"/>
      <c r="J10" s="775"/>
      <c r="K10" s="775">
        <v>7</v>
      </c>
      <c r="L10" s="776"/>
      <c r="M10" s="777">
        <f>PI()*K10^2/4/4046.8564224</f>
        <v>9.5097295257269374E-3</v>
      </c>
      <c r="N10" s="778" t="s">
        <v>1</v>
      </c>
      <c r="O10" s="776" t="s">
        <v>23</v>
      </c>
      <c r="P10" s="779">
        <f t="shared" ref="P10:P17" si="0">IF(O10="PLUS",1,IF(O10="MINUS",-1,0))</f>
        <v>0</v>
      </c>
      <c r="Q10" s="780">
        <v>1</v>
      </c>
      <c r="R10" s="773">
        <f>M10*4046.8564224/100</f>
        <v>0.38484510006474965</v>
      </c>
      <c r="S10" s="781">
        <f t="shared" ref="S10:S17" si="1">P10*Q10*R10</f>
        <v>0</v>
      </c>
      <c r="T10" s="775">
        <v>0.38484499999999999</v>
      </c>
      <c r="U10" s="776">
        <f t="shared" ref="U10:U17" si="2">P10*Q10*T10</f>
        <v>0</v>
      </c>
      <c r="V10" s="780" t="s">
        <v>0</v>
      </c>
    </row>
    <row r="11" spans="2:22" ht="15.95" customHeight="1" x14ac:dyDescent="0.25">
      <c r="B11" s="773" t="s">
        <v>34</v>
      </c>
      <c r="C11" s="774">
        <v>12</v>
      </c>
      <c r="D11" s="775">
        <v>5</v>
      </c>
      <c r="E11" s="775"/>
      <c r="F11" s="775"/>
      <c r="G11" s="775"/>
      <c r="H11" s="775"/>
      <c r="I11" s="775"/>
      <c r="J11" s="775"/>
      <c r="K11" s="775"/>
      <c r="L11" s="776"/>
      <c r="M11" s="777">
        <f>C11*D11*10000</f>
        <v>600000</v>
      </c>
      <c r="N11" s="778" t="s">
        <v>17</v>
      </c>
      <c r="O11" s="776" t="s">
        <v>21</v>
      </c>
      <c r="P11" s="779">
        <f t="shared" si="0"/>
        <v>-1</v>
      </c>
      <c r="Q11" s="780">
        <v>6</v>
      </c>
      <c r="R11" s="773">
        <f>M11/1000000</f>
        <v>0.6</v>
      </c>
      <c r="S11" s="781">
        <f t="shared" si="1"/>
        <v>-3.5999999999999996</v>
      </c>
      <c r="T11" s="775">
        <v>0.6</v>
      </c>
      <c r="U11" s="776">
        <f t="shared" si="2"/>
        <v>-3.5999999999999996</v>
      </c>
      <c r="V11" s="780" t="s">
        <v>0</v>
      </c>
    </row>
    <row r="12" spans="2:22" ht="15.95" customHeight="1" x14ac:dyDescent="0.25">
      <c r="B12" s="773" t="s">
        <v>33</v>
      </c>
      <c r="C12" s="774"/>
      <c r="D12" s="775"/>
      <c r="E12" s="775"/>
      <c r="F12" s="775"/>
      <c r="G12" s="775"/>
      <c r="H12" s="775"/>
      <c r="I12" s="775">
        <v>6</v>
      </c>
      <c r="J12" s="775">
        <v>35</v>
      </c>
      <c r="K12" s="775"/>
      <c r="L12" s="776"/>
      <c r="M12" s="777">
        <f>(J12*PI()/180)*I12^2/2*100</f>
        <v>1099.5574287564275</v>
      </c>
      <c r="N12" s="778" t="s">
        <v>18</v>
      </c>
      <c r="O12" s="776" t="s">
        <v>22</v>
      </c>
      <c r="P12" s="779">
        <f t="shared" si="0"/>
        <v>1</v>
      </c>
      <c r="Q12" s="780">
        <v>1</v>
      </c>
      <c r="R12" s="773">
        <f>M12/100/100</f>
        <v>0.10995574287564275</v>
      </c>
      <c r="S12" s="781">
        <f t="shared" si="1"/>
        <v>0.10995574287564275</v>
      </c>
      <c r="T12" s="775">
        <v>0.109956</v>
      </c>
      <c r="U12" s="776">
        <f t="shared" si="2"/>
        <v>0.109956</v>
      </c>
      <c r="V12" s="780" t="s">
        <v>0</v>
      </c>
    </row>
    <row r="13" spans="2:22" ht="15.95" customHeight="1" x14ac:dyDescent="0.25">
      <c r="B13" s="773" t="s">
        <v>35</v>
      </c>
      <c r="C13" s="774">
        <v>5</v>
      </c>
      <c r="D13" s="775">
        <v>12</v>
      </c>
      <c r="E13" s="775">
        <v>8</v>
      </c>
      <c r="F13" s="775"/>
      <c r="G13" s="775"/>
      <c r="H13" s="775"/>
      <c r="I13" s="775"/>
      <c r="J13" s="775"/>
      <c r="K13" s="775"/>
      <c r="L13" s="776"/>
      <c r="M13" s="777">
        <f>SQRT(((C13+D13+E13)/2*(((C13+D13+E13)/2-C13)*(((C13+D13+E13)/2-D13)*(((C13+D13+E13))/2-E13)))))/10000</f>
        <v>1.4523687548277813E-3</v>
      </c>
      <c r="N13" s="778" t="s">
        <v>4</v>
      </c>
      <c r="O13" s="776" t="s">
        <v>22</v>
      </c>
      <c r="P13" s="779">
        <f t="shared" si="0"/>
        <v>1</v>
      </c>
      <c r="Q13" s="780">
        <v>8</v>
      </c>
      <c r="R13" s="773">
        <f>M13*100</f>
        <v>0.14523687548277814</v>
      </c>
      <c r="S13" s="781">
        <f t="shared" si="1"/>
        <v>1.1618950038622251</v>
      </c>
      <c r="T13" s="775">
        <v>0.145237</v>
      </c>
      <c r="U13" s="776">
        <f t="shared" si="2"/>
        <v>1.161896</v>
      </c>
      <c r="V13" s="780" t="s">
        <v>0</v>
      </c>
    </row>
    <row r="14" spans="2:22" ht="15.95" customHeight="1" x14ac:dyDescent="0.25">
      <c r="B14" s="773" t="s">
        <v>32</v>
      </c>
      <c r="C14" s="774"/>
      <c r="D14" s="775"/>
      <c r="E14" s="775"/>
      <c r="F14" s="775"/>
      <c r="G14" s="775">
        <v>3</v>
      </c>
      <c r="H14" s="775">
        <v>27</v>
      </c>
      <c r="I14" s="775">
        <f>(H14*H14)/(8*G14)+G14/2</f>
        <v>31.875</v>
      </c>
      <c r="J14" s="775">
        <f>2*ASIN(H14/(2*I14))</f>
        <v>0.8746757834957678</v>
      </c>
      <c r="K14" s="775"/>
      <c r="L14" s="776"/>
      <c r="M14" s="777">
        <f>((I14*I14)/2)*(J14-SIN(J14))</f>
        <v>54.52963142040862</v>
      </c>
      <c r="N14" s="778" t="s">
        <v>16</v>
      </c>
      <c r="O14" s="776" t="s">
        <v>22</v>
      </c>
      <c r="P14" s="779">
        <f t="shared" si="0"/>
        <v>1</v>
      </c>
      <c r="Q14" s="780">
        <v>32</v>
      </c>
      <c r="R14" s="773">
        <f>M14/100</f>
        <v>0.5452963142040862</v>
      </c>
      <c r="S14" s="781">
        <f t="shared" si="1"/>
        <v>17.449482054530758</v>
      </c>
      <c r="T14" s="775">
        <v>0.545296</v>
      </c>
      <c r="U14" s="776">
        <f t="shared" si="2"/>
        <v>17.449472</v>
      </c>
      <c r="V14" s="780" t="s">
        <v>0</v>
      </c>
    </row>
    <row r="15" spans="2:22" ht="15.95" customHeight="1" x14ac:dyDescent="0.25">
      <c r="B15" s="773" t="s">
        <v>29</v>
      </c>
      <c r="C15" s="774">
        <v>67</v>
      </c>
      <c r="D15" s="775"/>
      <c r="E15" s="775"/>
      <c r="F15" s="775"/>
      <c r="G15" s="775"/>
      <c r="H15" s="775"/>
      <c r="I15" s="775"/>
      <c r="J15" s="775"/>
      <c r="K15" s="775"/>
      <c r="L15" s="776"/>
      <c r="M15" s="777">
        <f>C15^2*1000000</f>
        <v>4489000000</v>
      </c>
      <c r="N15" s="778" t="s">
        <v>19</v>
      </c>
      <c r="O15" s="776" t="s">
        <v>21</v>
      </c>
      <c r="P15" s="779">
        <f t="shared" si="0"/>
        <v>-1</v>
      </c>
      <c r="Q15" s="780">
        <v>9</v>
      </c>
      <c r="R15" s="773">
        <f>M15/100000000</f>
        <v>44.89</v>
      </c>
      <c r="S15" s="781">
        <f t="shared" si="1"/>
        <v>-404.01</v>
      </c>
      <c r="T15" s="775">
        <v>44.89</v>
      </c>
      <c r="U15" s="776">
        <f t="shared" si="2"/>
        <v>-404.01</v>
      </c>
      <c r="V15" s="780" t="s">
        <v>0</v>
      </c>
    </row>
    <row r="16" spans="2:22" ht="15.95" customHeight="1" x14ac:dyDescent="0.25">
      <c r="B16" s="773" t="s">
        <v>31</v>
      </c>
      <c r="C16" s="774"/>
      <c r="D16" s="775"/>
      <c r="E16" s="775"/>
      <c r="F16" s="775"/>
      <c r="G16" s="775"/>
      <c r="H16" s="775"/>
      <c r="I16" s="775"/>
      <c r="J16" s="775"/>
      <c r="K16" s="775">
        <v>7</v>
      </c>
      <c r="L16" s="776"/>
      <c r="M16" s="777">
        <f>PI()*K16^2/4/144*10000/(2.54*2.54)</f>
        <v>414.24381814066538</v>
      </c>
      <c r="N16" s="778" t="s">
        <v>6</v>
      </c>
      <c r="O16" s="776" t="s">
        <v>22</v>
      </c>
      <c r="P16" s="779">
        <f t="shared" si="0"/>
        <v>1</v>
      </c>
      <c r="Q16" s="780">
        <v>3</v>
      </c>
      <c r="R16" s="773">
        <f>M16*144/10000*(2.54*2.54)/100</f>
        <v>0.38484510006474965</v>
      </c>
      <c r="S16" s="781">
        <f t="shared" si="1"/>
        <v>1.1545353001942489</v>
      </c>
      <c r="T16" s="775">
        <v>0.38484499999999999</v>
      </c>
      <c r="U16" s="776">
        <f t="shared" si="2"/>
        <v>1.1545350000000001</v>
      </c>
      <c r="V16" s="780" t="s">
        <v>0</v>
      </c>
    </row>
    <row r="17" spans="2:22" ht="15.95" customHeight="1" thickBot="1" x14ac:dyDescent="0.3">
      <c r="B17" s="782" t="s">
        <v>29</v>
      </c>
      <c r="C17" s="783">
        <v>56</v>
      </c>
      <c r="D17" s="784"/>
      <c r="E17" s="784"/>
      <c r="F17" s="784"/>
      <c r="G17" s="784"/>
      <c r="H17" s="784"/>
      <c r="I17" s="784"/>
      <c r="J17" s="784"/>
      <c r="K17" s="784"/>
      <c r="L17" s="785"/>
      <c r="M17" s="786">
        <f>C17^2*10000/(2.54*2.54)</f>
        <v>4860809.721619443</v>
      </c>
      <c r="N17" s="787" t="s">
        <v>20</v>
      </c>
      <c r="O17" s="785" t="s">
        <v>22</v>
      </c>
      <c r="P17" s="788">
        <f t="shared" si="0"/>
        <v>1</v>
      </c>
      <c r="Q17" s="789">
        <v>84</v>
      </c>
      <c r="R17" s="782">
        <f>M17/10000*(2.54*2.54)/100</f>
        <v>31.36</v>
      </c>
      <c r="S17" s="790">
        <f t="shared" si="1"/>
        <v>2634.24</v>
      </c>
      <c r="T17" s="784">
        <v>31.36</v>
      </c>
      <c r="U17" s="785">
        <f t="shared" si="2"/>
        <v>2634.24</v>
      </c>
      <c r="V17" s="789" t="s">
        <v>0</v>
      </c>
    </row>
    <row r="18" spans="2:22" ht="15" customHeight="1" thickTop="1" thickBot="1" x14ac:dyDescent="0.3">
      <c r="B18" s="791"/>
      <c r="C18" s="792"/>
      <c r="D18" s="792"/>
      <c r="E18" s="792"/>
      <c r="F18" s="792"/>
      <c r="G18" s="792"/>
      <c r="H18" s="792"/>
      <c r="I18" s="792"/>
      <c r="J18" s="792"/>
      <c r="K18" s="792"/>
      <c r="L18" s="793"/>
      <c r="M18" s="768"/>
      <c r="N18" s="768"/>
      <c r="O18" s="768"/>
      <c r="P18" s="768"/>
      <c r="Q18" s="768"/>
      <c r="R18" s="768"/>
      <c r="S18" s="768"/>
      <c r="T18" s="768"/>
      <c r="U18" s="768"/>
      <c r="V18" s="770"/>
    </row>
    <row r="19" spans="2:22" ht="15" customHeight="1" thickTop="1" thickBot="1" x14ac:dyDescent="0.3">
      <c r="B19" s="765"/>
      <c r="C19" s="768"/>
      <c r="D19" s="768"/>
      <c r="E19" s="768"/>
      <c r="F19" s="768"/>
      <c r="G19" s="768"/>
      <c r="H19" s="768"/>
      <c r="I19" s="768"/>
      <c r="J19" s="768"/>
      <c r="K19" s="768"/>
      <c r="L19" s="770"/>
      <c r="M19" s="930" t="s">
        <v>15</v>
      </c>
      <c r="N19" s="931"/>
      <c r="O19" s="931"/>
      <c r="P19" s="931"/>
      <c r="Q19" s="932"/>
      <c r="R19" s="794">
        <f>SUM(S9:S17)</f>
        <v>2247.5858681014624</v>
      </c>
      <c r="S19" s="795">
        <f>SUM(S9:S17)</f>
        <v>2247.5858681014624</v>
      </c>
      <c r="T19" s="795">
        <f>SUM(U9:U17)</f>
        <v>2247.5858589999998</v>
      </c>
      <c r="U19" s="796">
        <f>SUM(U9:U18)</f>
        <v>2247.5858589999998</v>
      </c>
      <c r="V19" s="795" t="s">
        <v>0</v>
      </c>
    </row>
    <row r="20" spans="2:22" ht="15" customHeight="1" thickBot="1" x14ac:dyDescent="0.3">
      <c r="B20" s="782"/>
      <c r="C20" s="785"/>
      <c r="D20" s="785"/>
      <c r="E20" s="785"/>
      <c r="F20" s="785"/>
      <c r="G20" s="785"/>
      <c r="H20" s="785"/>
      <c r="I20" s="785"/>
      <c r="J20" s="785"/>
      <c r="K20" s="785"/>
      <c r="L20" s="787"/>
      <c r="M20" s="933" t="s">
        <v>26</v>
      </c>
      <c r="N20" s="934"/>
      <c r="O20" s="934"/>
      <c r="P20" s="934"/>
      <c r="Q20" s="935"/>
      <c r="R20" s="797">
        <f xml:space="preserve"> (R19-T19)/R19</f>
        <v>4.0494393415370579E-9</v>
      </c>
      <c r="S20" s="785"/>
      <c r="T20" s="785"/>
      <c r="U20" s="785"/>
      <c r="V20" s="787"/>
    </row>
    <row r="21" spans="2:22" ht="15" customHeight="1" thickTop="1" x14ac:dyDescent="0.25"/>
    <row r="26" spans="2:22" ht="15" customHeight="1" thickBot="1" x14ac:dyDescent="0.3"/>
    <row r="27" spans="2:22" s="716" customFormat="1" ht="20.100000000000001" customHeight="1" thickTop="1" thickBot="1" x14ac:dyDescent="0.3">
      <c r="B27" s="437" t="s">
        <v>27</v>
      </c>
      <c r="C27" s="888" t="s">
        <v>28</v>
      </c>
      <c r="D27" s="889"/>
      <c r="E27" s="889"/>
      <c r="F27" s="889"/>
      <c r="G27" s="889"/>
      <c r="H27" s="889"/>
      <c r="I27" s="889"/>
      <c r="J27" s="889"/>
      <c r="K27" s="889"/>
      <c r="L27" s="890"/>
      <c r="M27" s="924" t="s">
        <v>13</v>
      </c>
      <c r="N27" s="925"/>
      <c r="O27" s="436"/>
      <c r="P27" s="436"/>
      <c r="Q27" s="436"/>
      <c r="R27" s="924" t="s">
        <v>14</v>
      </c>
      <c r="S27" s="926"/>
      <c r="T27" s="926"/>
      <c r="U27" s="926"/>
      <c r="V27" s="925"/>
    </row>
    <row r="28" spans="2:22" s="714" customFormat="1" ht="17.100000000000001" customHeight="1" thickBot="1" x14ac:dyDescent="0.3">
      <c r="B28" s="369"/>
      <c r="C28" s="718" t="s">
        <v>40</v>
      </c>
      <c r="D28" s="719" t="s">
        <v>39</v>
      </c>
      <c r="E28" s="719" t="s">
        <v>38</v>
      </c>
      <c r="F28" s="719" t="s">
        <v>37</v>
      </c>
      <c r="G28" s="719" t="s">
        <v>41</v>
      </c>
      <c r="H28" s="719" t="s">
        <v>42</v>
      </c>
      <c r="I28" s="719" t="s">
        <v>43</v>
      </c>
      <c r="J28" s="719" t="s">
        <v>44</v>
      </c>
      <c r="K28" s="719" t="s">
        <v>36</v>
      </c>
      <c r="L28" s="368" t="s">
        <v>46</v>
      </c>
      <c r="M28" s="367" t="s">
        <v>24</v>
      </c>
      <c r="N28" s="720" t="s">
        <v>12</v>
      </c>
      <c r="O28" s="368" t="s">
        <v>9</v>
      </c>
      <c r="P28" s="721"/>
      <c r="Q28" s="371" t="s">
        <v>10</v>
      </c>
      <c r="R28" s="367" t="s">
        <v>11</v>
      </c>
      <c r="S28" s="722"/>
      <c r="T28" s="719" t="s">
        <v>25</v>
      </c>
      <c r="U28" s="368"/>
      <c r="V28" s="371" t="s">
        <v>12</v>
      </c>
    </row>
    <row r="29" spans="2:22" ht="15.95" customHeight="1" x14ac:dyDescent="0.25">
      <c r="B29" s="96" t="s">
        <v>35</v>
      </c>
      <c r="C29" s="97">
        <v>16</v>
      </c>
      <c r="D29" s="98">
        <v>17</v>
      </c>
      <c r="E29" s="98">
        <v>2</v>
      </c>
      <c r="F29" s="98"/>
      <c r="G29" s="98"/>
      <c r="H29" s="98"/>
      <c r="I29" s="98"/>
      <c r="J29" s="98"/>
      <c r="K29" s="98"/>
      <c r="L29" s="99"/>
      <c r="M29" s="100">
        <f>SQRT(((C29+D29+E29)/2*(((C29+D29+E29)/2-C29)*(((C29+D29+E29)/2-D29)*(((C29+D29+E29))/2-E29)))))/100</f>
        <v>0.14263151825595913</v>
      </c>
      <c r="N29" s="101" t="s">
        <v>0</v>
      </c>
      <c r="O29" s="99" t="s">
        <v>21</v>
      </c>
      <c r="P29" s="102">
        <f>IF(O29="PLUS",1,IF(O29="MINUS",-1,0))</f>
        <v>-1</v>
      </c>
      <c r="Q29" s="103">
        <v>6</v>
      </c>
      <c r="R29" s="96">
        <f>M29/4046.8564224*100</f>
        <v>3.5245015727879739E-3</v>
      </c>
      <c r="S29" s="104">
        <f>P29*Q29*R29</f>
        <v>-2.1147009436727843E-2</v>
      </c>
      <c r="T29" s="98">
        <v>3.5244999999999999E-3</v>
      </c>
      <c r="U29" s="99">
        <f>P29*Q29*T29</f>
        <v>-2.1146999999999999E-2</v>
      </c>
      <c r="V29" s="103" t="s">
        <v>1</v>
      </c>
    </row>
    <row r="30" spans="2:22" ht="15.95" customHeight="1" x14ac:dyDescent="0.25">
      <c r="B30" s="105" t="s">
        <v>34</v>
      </c>
      <c r="C30" s="106">
        <v>3</v>
      </c>
      <c r="D30" s="107">
        <v>23</v>
      </c>
      <c r="E30" s="107"/>
      <c r="F30" s="107"/>
      <c r="G30" s="107"/>
      <c r="H30" s="107"/>
      <c r="I30" s="107"/>
      <c r="J30" s="107"/>
      <c r="K30" s="107"/>
      <c r="L30" s="108"/>
      <c r="M30" s="109">
        <f>C30*D30/4046.8564224</f>
        <v>1.7050271321234409E-2</v>
      </c>
      <c r="N30" s="110" t="s">
        <v>1</v>
      </c>
      <c r="O30" s="108" t="s">
        <v>22</v>
      </c>
      <c r="P30" s="111">
        <f t="shared" ref="P30:P37" si="3">IF(O30="PLUS",1,IF(O30="MINUS",-1,0))</f>
        <v>1</v>
      </c>
      <c r="Q30" s="112">
        <v>3</v>
      </c>
      <c r="R30" s="105">
        <f>M30</f>
        <v>1.7050271321234409E-2</v>
      </c>
      <c r="S30" s="113">
        <f t="shared" ref="S30:S37" si="4">P30*Q30*R30</f>
        <v>5.1150813963703232E-2</v>
      </c>
      <c r="T30" s="107">
        <v>1.7050300000000001E-2</v>
      </c>
      <c r="U30" s="108">
        <f t="shared" ref="U30:U37" si="5">P30*Q30*T30</f>
        <v>5.1150899999999999E-2</v>
      </c>
      <c r="V30" s="112" t="s">
        <v>1</v>
      </c>
    </row>
    <row r="31" spans="2:22" ht="15.95" customHeight="1" x14ac:dyDescent="0.25">
      <c r="B31" s="105" t="s">
        <v>34</v>
      </c>
      <c r="C31" s="106">
        <v>7</v>
      </c>
      <c r="D31" s="107">
        <v>45</v>
      </c>
      <c r="E31" s="107"/>
      <c r="F31" s="107"/>
      <c r="G31" s="107"/>
      <c r="H31" s="107"/>
      <c r="I31" s="107"/>
      <c r="J31" s="107"/>
      <c r="K31" s="107"/>
      <c r="L31" s="108"/>
      <c r="M31" s="109">
        <f>C31*D31*10000</f>
        <v>3150000</v>
      </c>
      <c r="N31" s="110" t="s">
        <v>17</v>
      </c>
      <c r="O31" s="108" t="s">
        <v>22</v>
      </c>
      <c r="P31" s="111">
        <f t="shared" si="3"/>
        <v>1</v>
      </c>
      <c r="Q31" s="112">
        <v>98</v>
      </c>
      <c r="R31" s="105">
        <f>M31/4046.8564224/10000</f>
        <v>7.7838195162157078E-2</v>
      </c>
      <c r="S31" s="113">
        <f t="shared" si="4"/>
        <v>7.6281431258913939</v>
      </c>
      <c r="T31" s="107">
        <v>7.7838199999999996E-2</v>
      </c>
      <c r="U31" s="108">
        <f t="shared" si="5"/>
        <v>7.6281435999999996</v>
      </c>
      <c r="V31" s="112" t="s">
        <v>1</v>
      </c>
    </row>
    <row r="32" spans="2:22" ht="15.95" customHeight="1" x14ac:dyDescent="0.25">
      <c r="B32" s="105" t="s">
        <v>29</v>
      </c>
      <c r="C32" s="106">
        <v>9</v>
      </c>
      <c r="D32" s="107"/>
      <c r="E32" s="107"/>
      <c r="F32" s="107"/>
      <c r="G32" s="107"/>
      <c r="H32" s="107"/>
      <c r="I32" s="107"/>
      <c r="J32" s="107"/>
      <c r="K32" s="107"/>
      <c r="L32" s="108"/>
      <c r="M32" s="109">
        <f>C32^2*100</f>
        <v>8100</v>
      </c>
      <c r="N32" s="110" t="s">
        <v>18</v>
      </c>
      <c r="O32" s="108" t="s">
        <v>23</v>
      </c>
      <c r="P32" s="111">
        <f t="shared" si="3"/>
        <v>0</v>
      </c>
      <c r="Q32" s="112">
        <v>4</v>
      </c>
      <c r="R32" s="105">
        <f>M32/4046.8564224/100</f>
        <v>2.0015535898840392E-2</v>
      </c>
      <c r="S32" s="113">
        <f t="shared" si="4"/>
        <v>0</v>
      </c>
      <c r="T32" s="107">
        <v>2.0015499999999999E-2</v>
      </c>
      <c r="U32" s="108">
        <f t="shared" si="5"/>
        <v>0</v>
      </c>
      <c r="V32" s="112" t="s">
        <v>1</v>
      </c>
    </row>
    <row r="33" spans="2:22" ht="15.95" customHeight="1" x14ac:dyDescent="0.25">
      <c r="B33" s="105" t="s">
        <v>29</v>
      </c>
      <c r="C33" s="106">
        <v>13</v>
      </c>
      <c r="D33" s="107"/>
      <c r="E33" s="107"/>
      <c r="F33" s="107"/>
      <c r="G33" s="107"/>
      <c r="H33" s="107"/>
      <c r="I33" s="107"/>
      <c r="J33" s="107"/>
      <c r="K33" s="107"/>
      <c r="L33" s="108"/>
      <c r="M33" s="109">
        <f>C33^2/10000</f>
        <v>1.6899999999999998E-2</v>
      </c>
      <c r="N33" s="110" t="s">
        <v>4</v>
      </c>
      <c r="O33" s="108" t="s">
        <v>21</v>
      </c>
      <c r="P33" s="111">
        <f t="shared" si="3"/>
        <v>-1</v>
      </c>
      <c r="Q33" s="112">
        <v>7</v>
      </c>
      <c r="R33" s="105">
        <f>M33/4046.8564224*10000</f>
        <v>4.1760809467950938E-2</v>
      </c>
      <c r="S33" s="113">
        <f t="shared" si="4"/>
        <v>-0.29232566627565659</v>
      </c>
      <c r="T33" s="107">
        <v>4.1760800000000001E-2</v>
      </c>
      <c r="U33" s="108">
        <f t="shared" si="5"/>
        <v>-0.29232560000000002</v>
      </c>
      <c r="V33" s="112" t="s">
        <v>1</v>
      </c>
    </row>
    <row r="34" spans="2:22" ht="15.95" customHeight="1" x14ac:dyDescent="0.25">
      <c r="B34" s="105" t="s">
        <v>31</v>
      </c>
      <c r="C34" s="106"/>
      <c r="D34" s="107"/>
      <c r="E34" s="107"/>
      <c r="F34" s="107"/>
      <c r="G34" s="107"/>
      <c r="H34" s="107"/>
      <c r="I34" s="107"/>
      <c r="J34" s="107"/>
      <c r="K34" s="107">
        <v>35</v>
      </c>
      <c r="L34" s="108"/>
      <c r="M34" s="109">
        <f>PI()*K34^2/4</f>
        <v>962.11275016187415</v>
      </c>
      <c r="N34" s="110" t="s">
        <v>16</v>
      </c>
      <c r="O34" s="108" t="s">
        <v>22</v>
      </c>
      <c r="P34" s="111">
        <f t="shared" si="3"/>
        <v>1</v>
      </c>
      <c r="Q34" s="112">
        <v>5</v>
      </c>
      <c r="R34" s="105">
        <f>M34/4046.8564224</f>
        <v>0.23774323814317344</v>
      </c>
      <c r="S34" s="113">
        <f t="shared" si="4"/>
        <v>1.1887161907158672</v>
      </c>
      <c r="T34" s="107">
        <v>0.23774300000000001</v>
      </c>
      <c r="U34" s="108">
        <f t="shared" si="5"/>
        <v>1.188715</v>
      </c>
      <c r="V34" s="112" t="s">
        <v>1</v>
      </c>
    </row>
    <row r="35" spans="2:22" ht="15.95" customHeight="1" x14ac:dyDescent="0.25">
      <c r="B35" s="105" t="s">
        <v>33</v>
      </c>
      <c r="C35" s="106"/>
      <c r="D35" s="107"/>
      <c r="E35" s="107"/>
      <c r="F35" s="107"/>
      <c r="G35" s="107"/>
      <c r="H35" s="107"/>
      <c r="I35" s="107">
        <v>13</v>
      </c>
      <c r="J35" s="107">
        <v>23</v>
      </c>
      <c r="K35" s="107"/>
      <c r="L35" s="108"/>
      <c r="M35" s="109">
        <f>(J35*PI()/180)*I35^2/2*1000000</f>
        <v>33920474.012509793</v>
      </c>
      <c r="N35" s="110" t="s">
        <v>19</v>
      </c>
      <c r="O35" s="108" t="s">
        <v>21</v>
      </c>
      <c r="P35" s="111">
        <f t="shared" si="3"/>
        <v>-1</v>
      </c>
      <c r="Q35" s="112">
        <v>3</v>
      </c>
      <c r="R35" s="105">
        <f>M35/1000000/4046.8564224</f>
        <v>8.3819316704083005E-3</v>
      </c>
      <c r="S35" s="113">
        <f t="shared" si="4"/>
        <v>-2.5145795011224902E-2</v>
      </c>
      <c r="T35" s="107">
        <v>8.3819299999999992E-3</v>
      </c>
      <c r="U35" s="108">
        <f t="shared" si="5"/>
        <v>-2.5145789999999998E-2</v>
      </c>
      <c r="V35" s="112" t="s">
        <v>1</v>
      </c>
    </row>
    <row r="36" spans="2:22" ht="15.95" customHeight="1" x14ac:dyDescent="0.25">
      <c r="B36" s="105" t="s">
        <v>31</v>
      </c>
      <c r="C36" s="106"/>
      <c r="D36" s="107"/>
      <c r="E36" s="107"/>
      <c r="F36" s="107"/>
      <c r="G36" s="107"/>
      <c r="H36" s="107"/>
      <c r="I36" s="107"/>
      <c r="J36" s="107"/>
      <c r="K36" s="107">
        <v>69</v>
      </c>
      <c r="L36" s="108"/>
      <c r="M36" s="109">
        <f>PI()*K36^2/4/144*10000/(2.54*2.54)</f>
        <v>40249.28200342261</v>
      </c>
      <c r="N36" s="110" t="s">
        <v>6</v>
      </c>
      <c r="O36" s="108" t="s">
        <v>21</v>
      </c>
      <c r="P36" s="111">
        <f t="shared" si="3"/>
        <v>-1</v>
      </c>
      <c r="Q36" s="112">
        <v>458</v>
      </c>
      <c r="R36" s="105">
        <f>M36*144/10000*(2.54*2.54)/4046.8564224</f>
        <v>0.92399637289767234</v>
      </c>
      <c r="S36" s="113">
        <f t="shared" si="4"/>
        <v>-423.19033878713395</v>
      </c>
      <c r="T36" s="107">
        <v>0.92399600000000004</v>
      </c>
      <c r="U36" s="108">
        <f t="shared" si="5"/>
        <v>-423.19016800000003</v>
      </c>
      <c r="V36" s="112" t="s">
        <v>1</v>
      </c>
    </row>
    <row r="37" spans="2:22" ht="15.95" customHeight="1" thickBot="1" x14ac:dyDescent="0.3">
      <c r="B37" s="114" t="s">
        <v>30</v>
      </c>
      <c r="C37" s="115">
        <v>5</v>
      </c>
      <c r="D37" s="116">
        <v>3</v>
      </c>
      <c r="E37" s="116">
        <v>6</v>
      </c>
      <c r="F37" s="116">
        <v>2</v>
      </c>
      <c r="G37" s="116"/>
      <c r="H37" s="116"/>
      <c r="I37" s="116"/>
      <c r="J37" s="116"/>
      <c r="K37" s="116"/>
      <c r="L37" s="117">
        <v>4</v>
      </c>
      <c r="M37" s="192">
        <f>(SQRT(((C37+F37+L37)/2*(((C37+F37+L37)/2-C37)*(((C37+F37+L37)/2-F37)*(((C37+F37+L37))/2-L37)))))+SQRT(((D37+E37+L37)/2*(((D37+E37+L37)/2-D37)*(((D37+E37+L37)/2-E37)*(((D37+E37+L37))/2-L37))))))*10000/(2.54*2.54)</f>
        <v>14155.175910344798</v>
      </c>
      <c r="N37" s="118" t="s">
        <v>49</v>
      </c>
      <c r="O37" s="117" t="s">
        <v>22</v>
      </c>
      <c r="P37" s="119">
        <f t="shared" si="3"/>
        <v>1</v>
      </c>
      <c r="Q37" s="120">
        <v>50</v>
      </c>
      <c r="R37" s="114">
        <f>M37/10000*(2.54*2.54)/4046.8564224</f>
        <v>2.2566536434969644E-3</v>
      </c>
      <c r="S37" s="121">
        <f t="shared" si="4"/>
        <v>0.11283268217484822</v>
      </c>
      <c r="T37" s="116">
        <v>2.2566499999999998E-3</v>
      </c>
      <c r="U37" s="117">
        <f t="shared" si="5"/>
        <v>0.11283249999999999</v>
      </c>
      <c r="V37" s="120" t="s">
        <v>1</v>
      </c>
    </row>
    <row r="38" spans="2:22" ht="15" customHeight="1" thickTop="1" thickBot="1" x14ac:dyDescent="0.3">
      <c r="B38" s="422"/>
      <c r="C38" s="424"/>
      <c r="D38" s="424"/>
      <c r="E38" s="424"/>
      <c r="F38" s="424"/>
      <c r="G38" s="424"/>
      <c r="H38" s="424"/>
      <c r="I38" s="424"/>
      <c r="J38" s="424"/>
      <c r="K38" s="424"/>
      <c r="L38" s="423"/>
      <c r="M38" s="99"/>
      <c r="N38" s="99"/>
      <c r="O38" s="99"/>
      <c r="P38" s="99"/>
      <c r="Q38" s="99"/>
      <c r="R38" s="99"/>
      <c r="S38" s="99"/>
      <c r="T38" s="99"/>
      <c r="U38" s="99"/>
      <c r="V38" s="101"/>
    </row>
    <row r="39" spans="2:22" ht="15" customHeight="1" thickTop="1" thickBot="1" x14ac:dyDescent="0.3">
      <c r="B39" s="96"/>
      <c r="C39" s="99"/>
      <c r="D39" s="99"/>
      <c r="E39" s="99"/>
      <c r="F39" s="99"/>
      <c r="G39" s="99"/>
      <c r="H39" s="99"/>
      <c r="I39" s="99"/>
      <c r="J39" s="99"/>
      <c r="K39" s="99"/>
      <c r="L39" s="101"/>
      <c r="M39" s="927" t="s">
        <v>15</v>
      </c>
      <c r="N39" s="928"/>
      <c r="O39" s="928"/>
      <c r="P39" s="928"/>
      <c r="Q39" s="929"/>
      <c r="R39" s="122">
        <f>SUM(S29:S37)</f>
        <v>-414.54811444511176</v>
      </c>
      <c r="S39" s="123">
        <f>SUM(S29:S37)</f>
        <v>-414.54811444511176</v>
      </c>
      <c r="T39" s="123">
        <f>SUM(U29:U37)</f>
        <v>-414.54794439</v>
      </c>
      <c r="U39" s="124">
        <f>SUM(U29:U38)</f>
        <v>-414.54794439</v>
      </c>
      <c r="V39" s="123" t="s">
        <v>1</v>
      </c>
    </row>
    <row r="40" spans="2:22" ht="15" customHeight="1" thickBot="1" x14ac:dyDescent="0.3">
      <c r="B40" s="114"/>
      <c r="C40" s="117"/>
      <c r="D40" s="117"/>
      <c r="E40" s="117"/>
      <c r="F40" s="117"/>
      <c r="G40" s="117"/>
      <c r="H40" s="117"/>
      <c r="I40" s="117"/>
      <c r="J40" s="117"/>
      <c r="K40" s="117"/>
      <c r="L40" s="118"/>
      <c r="M40" s="894" t="s">
        <v>26</v>
      </c>
      <c r="N40" s="895"/>
      <c r="O40" s="895"/>
      <c r="P40" s="895"/>
      <c r="Q40" s="896"/>
      <c r="R40" s="748">
        <f xml:space="preserve"> (R39-T39)/R39</f>
        <v>4.1021803221590429E-7</v>
      </c>
      <c r="S40" s="117"/>
      <c r="T40" s="117"/>
      <c r="U40" s="117"/>
      <c r="V40" s="118"/>
    </row>
    <row r="41" spans="2:22" ht="15" customHeight="1" thickTop="1" x14ac:dyDescent="0.25"/>
    <row r="46" spans="2:22" ht="15" customHeight="1" thickBot="1" x14ac:dyDescent="0.3"/>
    <row r="47" spans="2:22" s="716" customFormat="1" ht="20.100000000000001" customHeight="1" thickTop="1" thickBot="1" x14ac:dyDescent="0.3">
      <c r="B47" s="440" t="s">
        <v>27</v>
      </c>
      <c r="C47" s="885" t="s">
        <v>28</v>
      </c>
      <c r="D47" s="886"/>
      <c r="E47" s="886"/>
      <c r="F47" s="886"/>
      <c r="G47" s="886"/>
      <c r="H47" s="886"/>
      <c r="I47" s="886"/>
      <c r="J47" s="886"/>
      <c r="K47" s="886"/>
      <c r="L47" s="887"/>
      <c r="M47" s="891" t="s">
        <v>13</v>
      </c>
      <c r="N47" s="892"/>
      <c r="O47" s="439"/>
      <c r="P47" s="439"/>
      <c r="Q47" s="439"/>
      <c r="R47" s="891" t="s">
        <v>14</v>
      </c>
      <c r="S47" s="893"/>
      <c r="T47" s="893"/>
      <c r="U47" s="893"/>
      <c r="V47" s="892"/>
    </row>
    <row r="48" spans="2:22" s="714" customFormat="1" ht="17.100000000000001" customHeight="1" thickBot="1" x14ac:dyDescent="0.3">
      <c r="B48" s="319"/>
      <c r="C48" s="723" t="s">
        <v>40</v>
      </c>
      <c r="D48" s="724" t="s">
        <v>39</v>
      </c>
      <c r="E48" s="724" t="s">
        <v>38</v>
      </c>
      <c r="F48" s="724" t="s">
        <v>37</v>
      </c>
      <c r="G48" s="724" t="s">
        <v>41</v>
      </c>
      <c r="H48" s="724" t="s">
        <v>42</v>
      </c>
      <c r="I48" s="724" t="s">
        <v>43</v>
      </c>
      <c r="J48" s="724" t="s">
        <v>44</v>
      </c>
      <c r="K48" s="724" t="s">
        <v>36</v>
      </c>
      <c r="L48" s="318" t="s">
        <v>46</v>
      </c>
      <c r="M48" s="317" t="s">
        <v>24</v>
      </c>
      <c r="N48" s="725" t="s">
        <v>12</v>
      </c>
      <c r="O48" s="318" t="s">
        <v>9</v>
      </c>
      <c r="P48" s="726"/>
      <c r="Q48" s="320" t="s">
        <v>10</v>
      </c>
      <c r="R48" s="317" t="s">
        <v>11</v>
      </c>
      <c r="S48" s="727"/>
      <c r="T48" s="724" t="s">
        <v>25</v>
      </c>
      <c r="U48" s="318"/>
      <c r="V48" s="320" t="s">
        <v>12</v>
      </c>
    </row>
    <row r="49" spans="2:22" ht="15.95" customHeight="1" x14ac:dyDescent="0.25">
      <c r="B49" s="15" t="s">
        <v>29</v>
      </c>
      <c r="C49" s="92">
        <v>450</v>
      </c>
      <c r="D49" s="20"/>
      <c r="E49" s="20"/>
      <c r="F49" s="20"/>
      <c r="G49" s="20"/>
      <c r="H49" s="20"/>
      <c r="I49" s="20"/>
      <c r="J49" s="20"/>
      <c r="K49" s="20"/>
      <c r="L49" s="18"/>
      <c r="M49" s="63">
        <f>C49^2/100</f>
        <v>2025</v>
      </c>
      <c r="N49" s="17" t="s">
        <v>0</v>
      </c>
      <c r="O49" s="18" t="s">
        <v>22</v>
      </c>
      <c r="P49" s="16">
        <f>IF(O49="PLUS",1,IF(O49="MINUS",-1,0))</f>
        <v>1</v>
      </c>
      <c r="Q49" s="19">
        <v>8</v>
      </c>
      <c r="R49" s="15">
        <f>M49*1000000</f>
        <v>2025000000</v>
      </c>
      <c r="S49" s="62">
        <f>P49*Q49*R49</f>
        <v>16200000000</v>
      </c>
      <c r="T49" s="20">
        <v>2025000000</v>
      </c>
      <c r="U49" s="18">
        <f>P49*Q49*T49</f>
        <v>16200000000</v>
      </c>
      <c r="V49" s="19" t="s">
        <v>8</v>
      </c>
    </row>
    <row r="50" spans="2:22" ht="15.95" customHeight="1" x14ac:dyDescent="0.25">
      <c r="B50" s="21" t="s">
        <v>31</v>
      </c>
      <c r="C50" s="93"/>
      <c r="D50" s="26"/>
      <c r="E50" s="26"/>
      <c r="F50" s="26"/>
      <c r="G50" s="26"/>
      <c r="H50" s="26"/>
      <c r="I50" s="26"/>
      <c r="J50" s="26"/>
      <c r="K50" s="26">
        <v>16</v>
      </c>
      <c r="L50" s="24"/>
      <c r="M50" s="64">
        <f>PI()*K50^2/4/4046.8564224</f>
        <v>4.9683484869104004E-2</v>
      </c>
      <c r="N50" s="23" t="s">
        <v>1</v>
      </c>
      <c r="O50" s="24" t="s">
        <v>22</v>
      </c>
      <c r="P50" s="22">
        <f t="shared" ref="P50:P57" si="6">IF(O50="PLUS",1,IF(O50="MINUS",-1,0))</f>
        <v>1</v>
      </c>
      <c r="Q50" s="25">
        <v>11</v>
      </c>
      <c r="R50" s="21">
        <f>M50*4046.8564224*10000</f>
        <v>2010619.2982974676</v>
      </c>
      <c r="S50" s="71">
        <f t="shared" ref="S50:S57" si="7">P50*Q50*R50</f>
        <v>22116812.281272143</v>
      </c>
      <c r="T50" s="26">
        <v>2010619</v>
      </c>
      <c r="U50" s="24">
        <f t="shared" ref="U50:U57" si="8">P50*Q50*T50</f>
        <v>22116809</v>
      </c>
      <c r="V50" s="25" t="s">
        <v>8</v>
      </c>
    </row>
    <row r="51" spans="2:22" ht="15.95" customHeight="1" x14ac:dyDescent="0.25">
      <c r="B51" s="21" t="s">
        <v>34</v>
      </c>
      <c r="C51" s="93">
        <v>81</v>
      </c>
      <c r="D51" s="26">
        <v>90</v>
      </c>
      <c r="E51" s="26"/>
      <c r="F51" s="26"/>
      <c r="G51" s="26"/>
      <c r="H51" s="26"/>
      <c r="I51" s="26"/>
      <c r="J51" s="26"/>
      <c r="K51" s="26"/>
      <c r="L51" s="24"/>
      <c r="M51" s="64">
        <f>C51*D51*10000</f>
        <v>72900000</v>
      </c>
      <c r="N51" s="23" t="s">
        <v>17</v>
      </c>
      <c r="O51" s="24" t="s">
        <v>21</v>
      </c>
      <c r="P51" s="22">
        <f t="shared" si="6"/>
        <v>-1</v>
      </c>
      <c r="Q51" s="25">
        <v>5</v>
      </c>
      <c r="R51" s="21">
        <f>M51</f>
        <v>72900000</v>
      </c>
      <c r="S51" s="71">
        <f t="shared" si="7"/>
        <v>-364500000</v>
      </c>
      <c r="T51" s="26">
        <v>72900000</v>
      </c>
      <c r="U51" s="24">
        <f t="shared" si="8"/>
        <v>-364500000</v>
      </c>
      <c r="V51" s="25" t="s">
        <v>8</v>
      </c>
    </row>
    <row r="52" spans="2:22" ht="15.95" customHeight="1" x14ac:dyDescent="0.25">
      <c r="B52" s="21" t="s">
        <v>33</v>
      </c>
      <c r="C52" s="93"/>
      <c r="D52" s="26"/>
      <c r="E52" s="26"/>
      <c r="F52" s="26"/>
      <c r="G52" s="26"/>
      <c r="H52" s="26"/>
      <c r="I52" s="26">
        <v>16</v>
      </c>
      <c r="J52" s="26">
        <v>60</v>
      </c>
      <c r="K52" s="26"/>
      <c r="L52" s="24"/>
      <c r="M52" s="64">
        <f>(J52*PI()/180)*I52^2/2*100</f>
        <v>13404.12865531645</v>
      </c>
      <c r="N52" s="23" t="s">
        <v>18</v>
      </c>
      <c r="O52" s="24" t="s">
        <v>21</v>
      </c>
      <c r="P52" s="22">
        <f t="shared" si="6"/>
        <v>-1</v>
      </c>
      <c r="Q52" s="25">
        <v>8</v>
      </c>
      <c r="R52" s="21">
        <f>M52/100*10000</f>
        <v>1340412.865531645</v>
      </c>
      <c r="S52" s="71">
        <f t="shared" si="7"/>
        <v>-10723302.92425316</v>
      </c>
      <c r="T52" s="26">
        <v>1340413</v>
      </c>
      <c r="U52" s="24">
        <f t="shared" si="8"/>
        <v>-10723304</v>
      </c>
      <c r="V52" s="25" t="s">
        <v>8</v>
      </c>
    </row>
    <row r="53" spans="2:22" ht="15.95" customHeight="1" x14ac:dyDescent="0.25">
      <c r="B53" s="21" t="s">
        <v>35</v>
      </c>
      <c r="C53" s="93">
        <v>90</v>
      </c>
      <c r="D53" s="26">
        <v>60</v>
      </c>
      <c r="E53" s="26">
        <v>67</v>
      </c>
      <c r="F53" s="26"/>
      <c r="G53" s="26"/>
      <c r="H53" s="26"/>
      <c r="I53" s="26"/>
      <c r="J53" s="26"/>
      <c r="K53" s="26"/>
      <c r="L53" s="24"/>
      <c r="M53" s="64">
        <f>SQRT(((C53+D53+E53)/2*(((C53+D53+E53)/2-C53)*(((C53+D53+E53)/2-D53)*(((C53+D53+E53))/2-E53)))))/10000</f>
        <v>0.20099981187802141</v>
      </c>
      <c r="N53" s="23" t="s">
        <v>4</v>
      </c>
      <c r="O53" s="24" t="s">
        <v>22</v>
      </c>
      <c r="P53" s="22">
        <f t="shared" si="6"/>
        <v>1</v>
      </c>
      <c r="Q53" s="25">
        <v>3</v>
      </c>
      <c r="R53" s="21">
        <f>M53*10000*10000</f>
        <v>20099981.18780214</v>
      </c>
      <c r="S53" s="71">
        <f t="shared" si="7"/>
        <v>60299943.563406423</v>
      </c>
      <c r="T53" s="26">
        <v>20099981</v>
      </c>
      <c r="U53" s="24">
        <f t="shared" si="8"/>
        <v>60299943</v>
      </c>
      <c r="V53" s="25" t="s">
        <v>8</v>
      </c>
    </row>
    <row r="54" spans="2:22" ht="15.95" customHeight="1" x14ac:dyDescent="0.25">
      <c r="B54" s="21" t="s">
        <v>32</v>
      </c>
      <c r="C54" s="93"/>
      <c r="D54" s="26"/>
      <c r="E54" s="26"/>
      <c r="F54" s="26"/>
      <c r="G54" s="26">
        <v>6</v>
      </c>
      <c r="H54" s="26">
        <v>90</v>
      </c>
      <c r="I54" s="26">
        <f>(H54*H54)/(8*G54)+G54/2</f>
        <v>171.75</v>
      </c>
      <c r="J54" s="26">
        <f>2*ASIN(H54/(2*I54))</f>
        <v>0.53020612918669607</v>
      </c>
      <c r="K54" s="26"/>
      <c r="L54" s="24"/>
      <c r="M54" s="64">
        <f>((I54*I54)/2)*(J54-SIN(J54))</f>
        <v>361.27676831611842</v>
      </c>
      <c r="N54" s="23" t="s">
        <v>16</v>
      </c>
      <c r="O54" s="24" t="s">
        <v>23</v>
      </c>
      <c r="P54" s="22">
        <f t="shared" si="6"/>
        <v>0</v>
      </c>
      <c r="Q54" s="25">
        <v>23</v>
      </c>
      <c r="R54" s="21">
        <f>M54*1000</f>
        <v>361276.7683161184</v>
      </c>
      <c r="S54" s="71">
        <f t="shared" si="7"/>
        <v>0</v>
      </c>
      <c r="T54" s="26">
        <v>3612768</v>
      </c>
      <c r="U54" s="24">
        <f t="shared" si="8"/>
        <v>0</v>
      </c>
      <c r="V54" s="25" t="s">
        <v>8</v>
      </c>
    </row>
    <row r="55" spans="2:22" ht="15.95" customHeight="1" x14ac:dyDescent="0.25">
      <c r="B55" s="21" t="s">
        <v>29</v>
      </c>
      <c r="C55" s="93">
        <v>37</v>
      </c>
      <c r="D55" s="26"/>
      <c r="E55" s="26"/>
      <c r="F55" s="26"/>
      <c r="G55" s="26"/>
      <c r="H55" s="26"/>
      <c r="I55" s="26"/>
      <c r="J55" s="26"/>
      <c r="K55" s="26"/>
      <c r="L55" s="24"/>
      <c r="M55" s="64">
        <f>C55^2*1000000</f>
        <v>1369000000</v>
      </c>
      <c r="N55" s="23" t="s">
        <v>19</v>
      </c>
      <c r="O55" s="24" t="s">
        <v>23</v>
      </c>
      <c r="P55" s="22">
        <f t="shared" si="6"/>
        <v>0</v>
      </c>
      <c r="Q55" s="25">
        <v>5</v>
      </c>
      <c r="R55" s="21">
        <f>M55/100</f>
        <v>13690000</v>
      </c>
      <c r="S55" s="71">
        <f t="shared" si="7"/>
        <v>0</v>
      </c>
      <c r="T55" s="26">
        <v>13690000</v>
      </c>
      <c r="U55" s="24">
        <f t="shared" si="8"/>
        <v>0</v>
      </c>
      <c r="V55" s="25" t="s">
        <v>8</v>
      </c>
    </row>
    <row r="56" spans="2:22" ht="15.95" customHeight="1" x14ac:dyDescent="0.25">
      <c r="B56" s="21" t="s">
        <v>31</v>
      </c>
      <c r="C56" s="93"/>
      <c r="D56" s="26"/>
      <c r="E56" s="26"/>
      <c r="F56" s="26"/>
      <c r="G56" s="26"/>
      <c r="H56" s="26"/>
      <c r="I56" s="26"/>
      <c r="J56" s="26"/>
      <c r="K56" s="26">
        <v>38</v>
      </c>
      <c r="L56" s="24"/>
      <c r="M56" s="64">
        <f>PI()*K56^2/4/144*10000/(2.54*2.54)</f>
        <v>12207.511701941243</v>
      </c>
      <c r="N56" s="23" t="s">
        <v>6</v>
      </c>
      <c r="O56" s="24" t="s">
        <v>22</v>
      </c>
      <c r="P56" s="22">
        <f t="shared" si="6"/>
        <v>1</v>
      </c>
      <c r="Q56" s="25">
        <v>12</v>
      </c>
      <c r="R56" s="21">
        <f>M56*144/10000*(2.54*2.54)*10000</f>
        <v>11341149.479459152</v>
      </c>
      <c r="S56" s="71">
        <f t="shared" si="7"/>
        <v>136093793.75350982</v>
      </c>
      <c r="T56" s="26">
        <v>11341149</v>
      </c>
      <c r="U56" s="24">
        <f t="shared" si="8"/>
        <v>136093788</v>
      </c>
      <c r="V56" s="25" t="s">
        <v>8</v>
      </c>
    </row>
    <row r="57" spans="2:22" ht="15.95" customHeight="1" thickBot="1" x14ac:dyDescent="0.3">
      <c r="B57" s="78" t="s">
        <v>29</v>
      </c>
      <c r="C57" s="94">
        <v>74</v>
      </c>
      <c r="D57" s="30"/>
      <c r="E57" s="30"/>
      <c r="F57" s="30"/>
      <c r="G57" s="30"/>
      <c r="H57" s="30"/>
      <c r="I57" s="30"/>
      <c r="J57" s="30"/>
      <c r="K57" s="30"/>
      <c r="L57" s="79"/>
      <c r="M57" s="65">
        <f>C57^2*10000/(2.54*2.54)</f>
        <v>8487816.9756339509</v>
      </c>
      <c r="N57" s="28" t="s">
        <v>20</v>
      </c>
      <c r="O57" s="79" t="s">
        <v>22</v>
      </c>
      <c r="P57" s="27">
        <f t="shared" si="6"/>
        <v>1</v>
      </c>
      <c r="Q57" s="29">
        <v>7</v>
      </c>
      <c r="R57" s="78">
        <f>M57/10000*(2.54*2.54)*10000</f>
        <v>54760000</v>
      </c>
      <c r="S57" s="66">
        <f t="shared" si="7"/>
        <v>383320000</v>
      </c>
      <c r="T57" s="30">
        <v>54760000</v>
      </c>
      <c r="U57" s="79">
        <f t="shared" si="8"/>
        <v>383320000</v>
      </c>
      <c r="V57" s="67" t="s">
        <v>8</v>
      </c>
    </row>
    <row r="58" spans="2:22" ht="15" customHeight="1" thickTop="1" thickBot="1" x14ac:dyDescent="0.3">
      <c r="B58" s="425"/>
      <c r="C58" s="427"/>
      <c r="D58" s="427"/>
      <c r="E58" s="427"/>
      <c r="F58" s="427"/>
      <c r="G58" s="427"/>
      <c r="H58" s="427"/>
      <c r="I58" s="427"/>
      <c r="J58" s="427"/>
      <c r="K58" s="427"/>
      <c r="L58" s="426"/>
      <c r="M58" s="18"/>
      <c r="N58" s="18"/>
      <c r="O58" s="18"/>
      <c r="P58" s="18"/>
      <c r="Q58" s="18"/>
      <c r="R58" s="18"/>
      <c r="S58" s="18"/>
      <c r="T58" s="18"/>
      <c r="U58" s="18"/>
      <c r="V58" s="17"/>
    </row>
    <row r="59" spans="2:22" ht="15" customHeight="1" thickTop="1" thickBot="1" x14ac:dyDescent="0.3">
      <c r="B59" s="15"/>
      <c r="C59" s="18"/>
      <c r="D59" s="18"/>
      <c r="E59" s="18"/>
      <c r="F59" s="18"/>
      <c r="G59" s="18"/>
      <c r="H59" s="18"/>
      <c r="I59" s="18"/>
      <c r="J59" s="18"/>
      <c r="K59" s="18"/>
      <c r="L59" s="17"/>
      <c r="M59" s="974" t="s">
        <v>15</v>
      </c>
      <c r="N59" s="975"/>
      <c r="O59" s="975"/>
      <c r="P59" s="975"/>
      <c r="Q59" s="976"/>
      <c r="R59" s="31">
        <f>SUM(S49:S57)</f>
        <v>16426607246.673935</v>
      </c>
      <c r="S59" s="33">
        <f>SUM(S49:S57)</f>
        <v>16426607246.673935</v>
      </c>
      <c r="T59" s="33">
        <f>SUM(U49:U57)</f>
        <v>16426607236</v>
      </c>
      <c r="U59" s="32">
        <f>SUM(U49:U57)</f>
        <v>16426607236</v>
      </c>
      <c r="V59" s="33" t="s">
        <v>8</v>
      </c>
    </row>
    <row r="60" spans="2:22" ht="15" customHeight="1" thickBot="1" x14ac:dyDescent="0.3">
      <c r="B60" s="78"/>
      <c r="C60" s="79"/>
      <c r="D60" s="79"/>
      <c r="E60" s="79"/>
      <c r="F60" s="79"/>
      <c r="G60" s="79"/>
      <c r="H60" s="79"/>
      <c r="I60" s="79"/>
      <c r="J60" s="79"/>
      <c r="K60" s="79"/>
      <c r="L60" s="28"/>
      <c r="M60" s="977" t="s">
        <v>26</v>
      </c>
      <c r="N60" s="978"/>
      <c r="O60" s="978"/>
      <c r="P60" s="978"/>
      <c r="Q60" s="979"/>
      <c r="R60" s="749">
        <f xml:space="preserve"> (R59-T59)/R59</f>
        <v>6.4979546757500397E-10</v>
      </c>
      <c r="S60" s="79"/>
      <c r="T60" s="79"/>
      <c r="U60" s="79"/>
      <c r="V60" s="28"/>
    </row>
    <row r="61" spans="2:22" ht="15" customHeight="1" thickTop="1" x14ac:dyDescent="0.25"/>
    <row r="66" spans="2:22" ht="15" customHeight="1" thickBot="1" x14ac:dyDescent="0.3"/>
    <row r="67" spans="2:22" s="716" customFormat="1" ht="20.100000000000001" customHeight="1" thickTop="1" thickBot="1" x14ac:dyDescent="0.3">
      <c r="B67" s="308" t="s">
        <v>27</v>
      </c>
      <c r="C67" s="900" t="s">
        <v>28</v>
      </c>
      <c r="D67" s="901"/>
      <c r="E67" s="901"/>
      <c r="F67" s="901"/>
      <c r="G67" s="901"/>
      <c r="H67" s="901"/>
      <c r="I67" s="901"/>
      <c r="J67" s="901"/>
      <c r="K67" s="901"/>
      <c r="L67" s="902"/>
      <c r="M67" s="903" t="s">
        <v>13</v>
      </c>
      <c r="N67" s="904"/>
      <c r="O67" s="438"/>
      <c r="P67" s="438"/>
      <c r="Q67" s="438"/>
      <c r="R67" s="903" t="s">
        <v>14</v>
      </c>
      <c r="S67" s="905"/>
      <c r="T67" s="905"/>
      <c r="U67" s="905"/>
      <c r="V67" s="904"/>
    </row>
    <row r="68" spans="2:22" s="714" customFormat="1" ht="17.100000000000001" customHeight="1" thickBot="1" x14ac:dyDescent="0.3">
      <c r="B68" s="655"/>
      <c r="C68" s="799" t="s">
        <v>40</v>
      </c>
      <c r="D68" s="800" t="s">
        <v>39</v>
      </c>
      <c r="E68" s="800" t="s">
        <v>38</v>
      </c>
      <c r="F68" s="800" t="s">
        <v>37</v>
      </c>
      <c r="G68" s="800" t="s">
        <v>41</v>
      </c>
      <c r="H68" s="800" t="s">
        <v>42</v>
      </c>
      <c r="I68" s="800" t="s">
        <v>43</v>
      </c>
      <c r="J68" s="800" t="s">
        <v>44</v>
      </c>
      <c r="K68" s="800" t="s">
        <v>36</v>
      </c>
      <c r="L68" s="654" t="s">
        <v>46</v>
      </c>
      <c r="M68" s="653" t="s">
        <v>24</v>
      </c>
      <c r="N68" s="801" t="s">
        <v>12</v>
      </c>
      <c r="O68" s="654" t="s">
        <v>9</v>
      </c>
      <c r="P68" s="802"/>
      <c r="Q68" s="656" t="s">
        <v>10</v>
      </c>
      <c r="R68" s="653" t="s">
        <v>11</v>
      </c>
      <c r="S68" s="803"/>
      <c r="T68" s="800" t="s">
        <v>25</v>
      </c>
      <c r="U68" s="654"/>
      <c r="V68" s="656" t="s">
        <v>12</v>
      </c>
    </row>
    <row r="69" spans="2:22" ht="15.95" customHeight="1" x14ac:dyDescent="0.25">
      <c r="B69" s="804" t="s">
        <v>29</v>
      </c>
      <c r="C69" s="805">
        <v>99</v>
      </c>
      <c r="D69" s="806"/>
      <c r="E69" s="806"/>
      <c r="F69" s="806"/>
      <c r="G69" s="806"/>
      <c r="H69" s="806"/>
      <c r="I69" s="806"/>
      <c r="J69" s="806"/>
      <c r="K69" s="806"/>
      <c r="L69" s="807"/>
      <c r="M69" s="808">
        <f>C69^2/100</f>
        <v>98.01</v>
      </c>
      <c r="N69" s="809" t="s">
        <v>0</v>
      </c>
      <c r="O69" s="807" t="s">
        <v>21</v>
      </c>
      <c r="P69" s="810">
        <f>IF(O69="PLUS",1,IF(O69="MINUS",-1,0))</f>
        <v>-1</v>
      </c>
      <c r="Q69" s="811">
        <v>6</v>
      </c>
      <c r="R69" s="804">
        <f>M69*10000</f>
        <v>980100</v>
      </c>
      <c r="S69" s="812">
        <f>P69*Q69*R69</f>
        <v>-5880600</v>
      </c>
      <c r="T69" s="806">
        <v>980100</v>
      </c>
      <c r="U69" s="807">
        <f>P69*Q69*T69</f>
        <v>-5880600</v>
      </c>
      <c r="V69" s="811" t="s">
        <v>3</v>
      </c>
    </row>
    <row r="70" spans="2:22" ht="15.95" customHeight="1" x14ac:dyDescent="0.25">
      <c r="B70" s="813" t="s">
        <v>31</v>
      </c>
      <c r="C70" s="814"/>
      <c r="D70" s="815"/>
      <c r="E70" s="815"/>
      <c r="F70" s="815"/>
      <c r="G70" s="815"/>
      <c r="H70" s="815"/>
      <c r="I70" s="815"/>
      <c r="J70" s="815"/>
      <c r="K70" s="815">
        <v>66</v>
      </c>
      <c r="L70" s="816"/>
      <c r="M70" s="817">
        <f>PI()*K70^2/4/4046.8564224</f>
        <v>0.84539554722584775</v>
      </c>
      <c r="N70" s="818" t="s">
        <v>1</v>
      </c>
      <c r="O70" s="816" t="s">
        <v>22</v>
      </c>
      <c r="P70" s="819">
        <f t="shared" ref="P70:P77" si="9">IF(O70="PLUS",1,IF(O70="MINUS",-1,0))</f>
        <v>1</v>
      </c>
      <c r="Q70" s="820">
        <v>8</v>
      </c>
      <c r="R70" s="813">
        <f>M70*4046.8564224*100</f>
        <v>342119.43997592846</v>
      </c>
      <c r="S70" s="821">
        <f t="shared" ref="S70:S77" si="10">P70*Q70*R70</f>
        <v>2736955.5198074277</v>
      </c>
      <c r="T70" s="815">
        <v>342119</v>
      </c>
      <c r="U70" s="816">
        <f t="shared" ref="U70:U77" si="11">P70*Q70*T70</f>
        <v>2736952</v>
      </c>
      <c r="V70" s="820" t="s">
        <v>3</v>
      </c>
    </row>
    <row r="71" spans="2:22" ht="15.95" customHeight="1" x14ac:dyDescent="0.25">
      <c r="B71" s="813" t="s">
        <v>34</v>
      </c>
      <c r="C71" s="814">
        <v>44</v>
      </c>
      <c r="D71" s="815">
        <v>9</v>
      </c>
      <c r="E71" s="815"/>
      <c r="F71" s="815"/>
      <c r="G71" s="815"/>
      <c r="H71" s="815"/>
      <c r="I71" s="815"/>
      <c r="J71" s="815"/>
      <c r="K71" s="815"/>
      <c r="L71" s="816"/>
      <c r="M71" s="817">
        <f>C71*D71*10000</f>
        <v>3960000</v>
      </c>
      <c r="N71" s="818" t="s">
        <v>17</v>
      </c>
      <c r="O71" s="816" t="s">
        <v>21</v>
      </c>
      <c r="P71" s="819">
        <f t="shared" si="9"/>
        <v>-1</v>
      </c>
      <c r="Q71" s="820">
        <v>2</v>
      </c>
      <c r="R71" s="813">
        <f>M71/100</f>
        <v>39600</v>
      </c>
      <c r="S71" s="821">
        <f t="shared" si="10"/>
        <v>-79200</v>
      </c>
      <c r="T71" s="815">
        <v>39600</v>
      </c>
      <c r="U71" s="816">
        <f t="shared" si="11"/>
        <v>-79200</v>
      </c>
      <c r="V71" s="820" t="s">
        <v>3</v>
      </c>
    </row>
    <row r="72" spans="2:22" ht="15.95" customHeight="1" x14ac:dyDescent="0.25">
      <c r="B72" s="813" t="s">
        <v>33</v>
      </c>
      <c r="C72" s="814"/>
      <c r="D72" s="815"/>
      <c r="E72" s="815"/>
      <c r="F72" s="815"/>
      <c r="G72" s="815"/>
      <c r="H72" s="815"/>
      <c r="I72" s="815">
        <v>16</v>
      </c>
      <c r="J72" s="815">
        <v>15</v>
      </c>
      <c r="K72" s="815"/>
      <c r="L72" s="816"/>
      <c r="M72" s="817">
        <f>(J72*PI()/180)*I72^2/2*100</f>
        <v>3351.0321638291125</v>
      </c>
      <c r="N72" s="818" t="s">
        <v>18</v>
      </c>
      <c r="O72" s="816" t="s">
        <v>23</v>
      </c>
      <c r="P72" s="819">
        <f t="shared" si="9"/>
        <v>0</v>
      </c>
      <c r="Q72" s="820">
        <v>35</v>
      </c>
      <c r="R72" s="813">
        <f>M72</f>
        <v>3351.0321638291125</v>
      </c>
      <c r="S72" s="821">
        <f t="shared" si="10"/>
        <v>0</v>
      </c>
      <c r="T72" s="815">
        <v>3351.03</v>
      </c>
      <c r="U72" s="816">
        <f t="shared" si="11"/>
        <v>0</v>
      </c>
      <c r="V72" s="820" t="s">
        <v>3</v>
      </c>
    </row>
    <row r="73" spans="2:22" ht="15.95" customHeight="1" x14ac:dyDescent="0.25">
      <c r="B73" s="813" t="s">
        <v>35</v>
      </c>
      <c r="C73" s="814">
        <v>32</v>
      </c>
      <c r="D73" s="815">
        <v>120</v>
      </c>
      <c r="E73" s="815">
        <v>94</v>
      </c>
      <c r="F73" s="815"/>
      <c r="G73" s="815"/>
      <c r="H73" s="815"/>
      <c r="I73" s="815"/>
      <c r="J73" s="815"/>
      <c r="K73" s="815"/>
      <c r="L73" s="816"/>
      <c r="M73" s="817">
        <f>SQRT(((C73+D73+E73)/2*(((C73+D73+E73)/2-C73)*(((C73+D73+E73)/2-D73)*(((C73+D73+E73))/2-E73)))))/10000</f>
        <v>9.8680849205912288E-2</v>
      </c>
      <c r="N73" s="818" t="s">
        <v>4</v>
      </c>
      <c r="O73" s="816" t="s">
        <v>23</v>
      </c>
      <c r="P73" s="819">
        <f t="shared" si="9"/>
        <v>0</v>
      </c>
      <c r="Q73" s="820">
        <v>78</v>
      </c>
      <c r="R73" s="813">
        <f>M73*10000*100</f>
        <v>98680.84920591228</v>
      </c>
      <c r="S73" s="821">
        <f t="shared" si="10"/>
        <v>0</v>
      </c>
      <c r="T73" s="815">
        <v>98680.8</v>
      </c>
      <c r="U73" s="816">
        <f t="shared" si="11"/>
        <v>0</v>
      </c>
      <c r="V73" s="820" t="s">
        <v>3</v>
      </c>
    </row>
    <row r="74" spans="2:22" ht="15.95" customHeight="1" x14ac:dyDescent="0.25">
      <c r="B74" s="813" t="s">
        <v>30</v>
      </c>
      <c r="C74" s="814">
        <v>19</v>
      </c>
      <c r="D74" s="815">
        <v>13</v>
      </c>
      <c r="E74" s="815">
        <v>18</v>
      </c>
      <c r="F74" s="815">
        <v>15</v>
      </c>
      <c r="G74" s="815"/>
      <c r="H74" s="815"/>
      <c r="I74" s="815"/>
      <c r="J74" s="815"/>
      <c r="K74" s="815"/>
      <c r="L74" s="816">
        <v>16</v>
      </c>
      <c r="M74" s="817">
        <f>SQRT(((C74+F74+L74)/2*(((C74+F74+L74)/2-C74)*(((C74+F74+L74)/2-F74)*(((C74+F74+L74))/2-L74)))))+SQRT(((D74+E74+L74)/2*(((D74+E74+L74)/2-D74)*(((D74+E74+L74)/2-E74)*(((D74+E74+L74))/2-L74)))))</f>
        <v>217.07774301141643</v>
      </c>
      <c r="N74" s="818" t="s">
        <v>16</v>
      </c>
      <c r="O74" s="816" t="s">
        <v>22</v>
      </c>
      <c r="P74" s="819">
        <f t="shared" si="9"/>
        <v>1</v>
      </c>
      <c r="Q74" s="820">
        <v>45</v>
      </c>
      <c r="R74" s="813">
        <f>M74*100</f>
        <v>21707.774301141642</v>
      </c>
      <c r="S74" s="821">
        <f t="shared" si="10"/>
        <v>976849.84355137392</v>
      </c>
      <c r="T74" s="815">
        <v>21707.8</v>
      </c>
      <c r="U74" s="816">
        <f t="shared" si="11"/>
        <v>976851</v>
      </c>
      <c r="V74" s="820" t="s">
        <v>3</v>
      </c>
    </row>
    <row r="75" spans="2:22" ht="15.95" customHeight="1" x14ac:dyDescent="0.25">
      <c r="B75" s="813" t="s">
        <v>29</v>
      </c>
      <c r="C75" s="814">
        <v>45</v>
      </c>
      <c r="D75" s="815"/>
      <c r="E75" s="815"/>
      <c r="F75" s="815"/>
      <c r="G75" s="815"/>
      <c r="H75" s="815"/>
      <c r="I75" s="815"/>
      <c r="J75" s="815"/>
      <c r="K75" s="815"/>
      <c r="L75" s="816"/>
      <c r="M75" s="817">
        <f>C75^2/1000000</f>
        <v>2.0249999999999999E-3</v>
      </c>
      <c r="N75" s="818" t="s">
        <v>19</v>
      </c>
      <c r="O75" s="816" t="s">
        <v>22</v>
      </c>
      <c r="P75" s="819">
        <f t="shared" si="9"/>
        <v>1</v>
      </c>
      <c r="Q75" s="820">
        <v>66</v>
      </c>
      <c r="R75" s="813">
        <f>M75*1000000*100</f>
        <v>202500</v>
      </c>
      <c r="S75" s="821">
        <f t="shared" si="10"/>
        <v>13365000</v>
      </c>
      <c r="T75" s="815">
        <v>202500</v>
      </c>
      <c r="U75" s="816">
        <f t="shared" si="11"/>
        <v>13365000</v>
      </c>
      <c r="V75" s="820" t="s">
        <v>3</v>
      </c>
    </row>
    <row r="76" spans="2:22" ht="15.95" customHeight="1" x14ac:dyDescent="0.25">
      <c r="B76" s="813" t="s">
        <v>32</v>
      </c>
      <c r="C76" s="814"/>
      <c r="D76" s="815"/>
      <c r="E76" s="815"/>
      <c r="F76" s="815"/>
      <c r="G76" s="815">
        <v>37</v>
      </c>
      <c r="H76" s="815">
        <v>79</v>
      </c>
      <c r="I76" s="815">
        <f>(H76*H76)/(8*G76)+G76/2</f>
        <v>39.58445945945946</v>
      </c>
      <c r="J76" s="815">
        <f>2*ASIN(H76/(2*I76))</f>
        <v>3.0109202039821295</v>
      </c>
      <c r="K76" s="815"/>
      <c r="L76" s="816"/>
      <c r="M76" s="817">
        <f>((I76*I76)/2)*(J76-SIN(J76))/144*10000/(2.54*2.54)</f>
        <v>24292.677525968411</v>
      </c>
      <c r="N76" s="818" t="s">
        <v>6</v>
      </c>
      <c r="O76" s="816" t="s">
        <v>21</v>
      </c>
      <c r="P76" s="819">
        <f t="shared" si="9"/>
        <v>-1</v>
      </c>
      <c r="Q76" s="820">
        <v>13</v>
      </c>
      <c r="R76" s="813">
        <f>M76*144/10000*(2.54*2.54)*100</f>
        <v>225686.3591902144</v>
      </c>
      <c r="S76" s="821">
        <f t="shared" si="10"/>
        <v>-2933922.6694727871</v>
      </c>
      <c r="T76" s="815">
        <v>225686</v>
      </c>
      <c r="U76" s="816">
        <f t="shared" si="11"/>
        <v>-2933918</v>
      </c>
      <c r="V76" s="820" t="s">
        <v>3</v>
      </c>
    </row>
    <row r="77" spans="2:22" ht="15.95" customHeight="1" thickBot="1" x14ac:dyDescent="0.3">
      <c r="B77" s="822" t="s">
        <v>29</v>
      </c>
      <c r="C77" s="823">
        <v>70</v>
      </c>
      <c r="D77" s="824"/>
      <c r="E77" s="824"/>
      <c r="F77" s="824"/>
      <c r="G77" s="824"/>
      <c r="H77" s="824"/>
      <c r="I77" s="824"/>
      <c r="J77" s="824"/>
      <c r="K77" s="824"/>
      <c r="L77" s="825"/>
      <c r="M77" s="826">
        <f>C77^2*10000/(2.54*2.54)</f>
        <v>7595015.1900303802</v>
      </c>
      <c r="N77" s="827" t="s">
        <v>20</v>
      </c>
      <c r="O77" s="825" t="s">
        <v>21</v>
      </c>
      <c r="P77" s="828">
        <f t="shared" si="9"/>
        <v>-1</v>
      </c>
      <c r="Q77" s="829">
        <v>90</v>
      </c>
      <c r="R77" s="822">
        <f>M77/10000*(2.54*2.54)*100</f>
        <v>490000</v>
      </c>
      <c r="S77" s="830">
        <f t="shared" si="10"/>
        <v>-44100000</v>
      </c>
      <c r="T77" s="824">
        <v>490000</v>
      </c>
      <c r="U77" s="825">
        <f t="shared" si="11"/>
        <v>-44100000</v>
      </c>
      <c r="V77" s="831" t="s">
        <v>3</v>
      </c>
    </row>
    <row r="78" spans="2:22" ht="15" customHeight="1" thickTop="1" thickBot="1" x14ac:dyDescent="0.3">
      <c r="B78" s="832"/>
      <c r="C78" s="833"/>
      <c r="D78" s="833"/>
      <c r="E78" s="833"/>
      <c r="F78" s="833"/>
      <c r="G78" s="833"/>
      <c r="H78" s="833"/>
      <c r="I78" s="833"/>
      <c r="J78" s="833"/>
      <c r="K78" s="833"/>
      <c r="L78" s="834"/>
      <c r="M78" s="807"/>
      <c r="N78" s="807"/>
      <c r="O78" s="807"/>
      <c r="P78" s="807"/>
      <c r="Q78" s="807"/>
      <c r="R78" s="807"/>
      <c r="S78" s="807"/>
      <c r="T78" s="807"/>
      <c r="U78" s="807"/>
      <c r="V78" s="809"/>
    </row>
    <row r="79" spans="2:22" ht="15" customHeight="1" thickTop="1" thickBot="1" x14ac:dyDescent="0.3">
      <c r="B79" s="804"/>
      <c r="C79" s="807"/>
      <c r="D79" s="807"/>
      <c r="E79" s="807"/>
      <c r="F79" s="807"/>
      <c r="G79" s="807"/>
      <c r="H79" s="807"/>
      <c r="I79" s="807"/>
      <c r="J79" s="807"/>
      <c r="K79" s="807"/>
      <c r="L79" s="809"/>
      <c r="M79" s="968" t="s">
        <v>15</v>
      </c>
      <c r="N79" s="969"/>
      <c r="O79" s="969"/>
      <c r="P79" s="969"/>
      <c r="Q79" s="970"/>
      <c r="R79" s="835">
        <f>SUM(S69:S77)</f>
        <v>-35914917.306113988</v>
      </c>
      <c r="S79" s="836">
        <f>SUM(S69:S77)</f>
        <v>-35914917.306113988</v>
      </c>
      <c r="T79" s="836">
        <f>SUM(U69:U77)</f>
        <v>-35914915</v>
      </c>
      <c r="U79" s="837">
        <f>SUM(U69:U78)</f>
        <v>-35914915</v>
      </c>
      <c r="V79" s="836" t="s">
        <v>3</v>
      </c>
    </row>
    <row r="80" spans="2:22" ht="15" customHeight="1" thickBot="1" x14ac:dyDescent="0.3">
      <c r="B80" s="822"/>
      <c r="C80" s="825"/>
      <c r="D80" s="825"/>
      <c r="E80" s="825"/>
      <c r="F80" s="825"/>
      <c r="G80" s="825"/>
      <c r="H80" s="825"/>
      <c r="I80" s="825"/>
      <c r="J80" s="825"/>
      <c r="K80" s="825"/>
      <c r="L80" s="827"/>
      <c r="M80" s="971" t="s">
        <v>26</v>
      </c>
      <c r="N80" s="972"/>
      <c r="O80" s="972"/>
      <c r="P80" s="972"/>
      <c r="Q80" s="973"/>
      <c r="R80" s="838">
        <f xml:space="preserve"> (R79-T79)/R79</f>
        <v>6.4210477459974691E-8</v>
      </c>
      <c r="S80" s="825"/>
      <c r="T80" s="825"/>
      <c r="U80" s="825"/>
      <c r="V80" s="827"/>
    </row>
    <row r="81" spans="2:22" ht="15" customHeight="1" thickTop="1" x14ac:dyDescent="0.25"/>
    <row r="86" spans="2:22" ht="15" customHeight="1" thickBot="1" x14ac:dyDescent="0.3"/>
    <row r="87" spans="2:22" s="716" customFormat="1" ht="20.100000000000001" customHeight="1" thickTop="1" thickBot="1" x14ac:dyDescent="0.3">
      <c r="B87" s="504" t="s">
        <v>27</v>
      </c>
      <c r="C87" s="992" t="s">
        <v>28</v>
      </c>
      <c r="D87" s="993"/>
      <c r="E87" s="993"/>
      <c r="F87" s="993"/>
      <c r="G87" s="993"/>
      <c r="H87" s="993"/>
      <c r="I87" s="993"/>
      <c r="J87" s="993"/>
      <c r="K87" s="993"/>
      <c r="L87" s="994"/>
      <c r="M87" s="906" t="s">
        <v>13</v>
      </c>
      <c r="N87" s="907"/>
      <c r="O87" s="709"/>
      <c r="P87" s="709"/>
      <c r="Q87" s="709"/>
      <c r="R87" s="906" t="s">
        <v>14</v>
      </c>
      <c r="S87" s="908"/>
      <c r="T87" s="908"/>
      <c r="U87" s="908"/>
      <c r="V87" s="907"/>
    </row>
    <row r="88" spans="2:22" s="714" customFormat="1" ht="17.100000000000001" customHeight="1" thickBot="1" x14ac:dyDescent="0.3">
      <c r="B88" s="514"/>
      <c r="C88" s="840" t="s">
        <v>40</v>
      </c>
      <c r="D88" s="841" t="s">
        <v>39</v>
      </c>
      <c r="E88" s="841" t="s">
        <v>38</v>
      </c>
      <c r="F88" s="841" t="s">
        <v>37</v>
      </c>
      <c r="G88" s="841" t="s">
        <v>41</v>
      </c>
      <c r="H88" s="841" t="s">
        <v>42</v>
      </c>
      <c r="I88" s="841" t="s">
        <v>43</v>
      </c>
      <c r="J88" s="841" t="s">
        <v>44</v>
      </c>
      <c r="K88" s="841" t="s">
        <v>36</v>
      </c>
      <c r="L88" s="513" t="s">
        <v>46</v>
      </c>
      <c r="M88" s="512" t="s">
        <v>24</v>
      </c>
      <c r="N88" s="842" t="s">
        <v>12</v>
      </c>
      <c r="O88" s="513" t="s">
        <v>9</v>
      </c>
      <c r="P88" s="843"/>
      <c r="Q88" s="516" t="s">
        <v>10</v>
      </c>
      <c r="R88" s="512" t="s">
        <v>11</v>
      </c>
      <c r="S88" s="844"/>
      <c r="T88" s="841" t="s">
        <v>25</v>
      </c>
      <c r="U88" s="513"/>
      <c r="V88" s="516" t="s">
        <v>12</v>
      </c>
    </row>
    <row r="89" spans="2:22" ht="15.95" customHeight="1" x14ac:dyDescent="0.25">
      <c r="B89" s="845" t="s">
        <v>29</v>
      </c>
      <c r="C89" s="846">
        <v>32</v>
      </c>
      <c r="D89" s="847"/>
      <c r="E89" s="847"/>
      <c r="F89" s="847"/>
      <c r="G89" s="847"/>
      <c r="H89" s="847"/>
      <c r="I89" s="847"/>
      <c r="J89" s="847"/>
      <c r="K89" s="847"/>
      <c r="L89" s="848"/>
      <c r="M89" s="849">
        <f>C89^2/100</f>
        <v>10.24</v>
      </c>
      <c r="N89" s="850" t="s">
        <v>0</v>
      </c>
      <c r="O89" s="848" t="s">
        <v>22</v>
      </c>
      <c r="P89" s="851">
        <f>IF(O89="PLUS",1,IF(O89="MINUS",-1,0))</f>
        <v>1</v>
      </c>
      <c r="Q89" s="852">
        <v>13</v>
      </c>
      <c r="R89" s="845">
        <f>M89/100</f>
        <v>0.1024</v>
      </c>
      <c r="S89" s="853">
        <f>P89*Q89*R89</f>
        <v>1.3312000000000002</v>
      </c>
      <c r="T89" s="847">
        <v>0.1024</v>
      </c>
      <c r="U89" s="848">
        <f>P89*Q89*T89</f>
        <v>1.3312000000000002</v>
      </c>
      <c r="V89" s="852" t="s">
        <v>4</v>
      </c>
    </row>
    <row r="90" spans="2:22" ht="15.95" customHeight="1" x14ac:dyDescent="0.25">
      <c r="B90" s="854" t="s">
        <v>31</v>
      </c>
      <c r="C90" s="855"/>
      <c r="D90" s="856"/>
      <c r="E90" s="856"/>
      <c r="F90" s="856"/>
      <c r="G90" s="856"/>
      <c r="H90" s="856"/>
      <c r="I90" s="856"/>
      <c r="J90" s="856"/>
      <c r="K90" s="856">
        <v>61</v>
      </c>
      <c r="L90" s="857"/>
      <c r="M90" s="858">
        <f>PI()*K90^2/4/4046.8564224</f>
        <v>0.72215721561693746</v>
      </c>
      <c r="N90" s="859" t="s">
        <v>1</v>
      </c>
      <c r="O90" s="857" t="s">
        <v>21</v>
      </c>
      <c r="P90" s="860">
        <f t="shared" ref="P90:P97" si="12">IF(O90="PLUS",1,IF(O90="MINUS",-1,0))</f>
        <v>-1</v>
      </c>
      <c r="Q90" s="861">
        <v>12</v>
      </c>
      <c r="R90" s="854">
        <f>M90*4046.8564224/10000</f>
        <v>0.2922466566001905</v>
      </c>
      <c r="S90" s="862">
        <f t="shared" ref="S90:S97" si="13">P90*Q90*R90</f>
        <v>-3.5069598792022862</v>
      </c>
      <c r="T90" s="856">
        <v>0.29224699999999998</v>
      </c>
      <c r="U90" s="857">
        <f t="shared" ref="U90:U97" si="14">P90*Q90*T90</f>
        <v>-3.506964</v>
      </c>
      <c r="V90" s="861" t="s">
        <v>4</v>
      </c>
    </row>
    <row r="91" spans="2:22" ht="15.95" customHeight="1" x14ac:dyDescent="0.25">
      <c r="B91" s="854" t="s">
        <v>34</v>
      </c>
      <c r="C91" s="855">
        <v>40</v>
      </c>
      <c r="D91" s="856">
        <v>13</v>
      </c>
      <c r="E91" s="856"/>
      <c r="F91" s="856"/>
      <c r="G91" s="856"/>
      <c r="H91" s="856"/>
      <c r="I91" s="856"/>
      <c r="J91" s="856"/>
      <c r="K91" s="856"/>
      <c r="L91" s="857"/>
      <c r="M91" s="858">
        <f>C91*D91*10000</f>
        <v>5200000</v>
      </c>
      <c r="N91" s="859" t="s">
        <v>17</v>
      </c>
      <c r="O91" s="857" t="s">
        <v>22</v>
      </c>
      <c r="P91" s="860">
        <f t="shared" si="12"/>
        <v>1</v>
      </c>
      <c r="Q91" s="861">
        <v>6</v>
      </c>
      <c r="R91" s="854">
        <f>M91/100000000</f>
        <v>5.1999999999999998E-2</v>
      </c>
      <c r="S91" s="862">
        <f t="shared" si="13"/>
        <v>0.312</v>
      </c>
      <c r="T91" s="856">
        <v>5.1999999999999998E-2</v>
      </c>
      <c r="U91" s="857">
        <f t="shared" si="14"/>
        <v>0.312</v>
      </c>
      <c r="V91" s="861" t="s">
        <v>4</v>
      </c>
    </row>
    <row r="92" spans="2:22" ht="15.95" customHeight="1" x14ac:dyDescent="0.25">
      <c r="B92" s="854" t="s">
        <v>33</v>
      </c>
      <c r="C92" s="855"/>
      <c r="D92" s="856"/>
      <c r="E92" s="856"/>
      <c r="F92" s="856"/>
      <c r="G92" s="856"/>
      <c r="H92" s="856"/>
      <c r="I92" s="856">
        <v>6</v>
      </c>
      <c r="J92" s="856">
        <v>94</v>
      </c>
      <c r="K92" s="856"/>
      <c r="L92" s="857"/>
      <c r="M92" s="858">
        <f>(J92*PI()/180)*I92^2/2*100</f>
        <v>2953.097094374406</v>
      </c>
      <c r="N92" s="859" t="s">
        <v>18</v>
      </c>
      <c r="O92" s="857" t="s">
        <v>22</v>
      </c>
      <c r="P92" s="860">
        <f t="shared" si="12"/>
        <v>1</v>
      </c>
      <c r="Q92" s="861">
        <v>34</v>
      </c>
      <c r="R92" s="854">
        <f>M92/100/10000</f>
        <v>2.9530970943744059E-3</v>
      </c>
      <c r="S92" s="862">
        <f t="shared" si="13"/>
        <v>0.1004053012087298</v>
      </c>
      <c r="T92" s="856">
        <v>2.9531000000000002E-3</v>
      </c>
      <c r="U92" s="857">
        <f t="shared" si="14"/>
        <v>0.10040540000000001</v>
      </c>
      <c r="V92" s="861" t="s">
        <v>4</v>
      </c>
    </row>
    <row r="93" spans="2:22" ht="15.95" customHeight="1" x14ac:dyDescent="0.25">
      <c r="B93" s="854" t="s">
        <v>35</v>
      </c>
      <c r="C93" s="855">
        <v>25</v>
      </c>
      <c r="D93" s="856">
        <v>36</v>
      </c>
      <c r="E93" s="856">
        <v>40</v>
      </c>
      <c r="F93" s="856"/>
      <c r="G93" s="856"/>
      <c r="H93" s="856"/>
      <c r="I93" s="856"/>
      <c r="J93" s="856"/>
      <c r="K93" s="856"/>
      <c r="L93" s="857"/>
      <c r="M93" s="858">
        <f>SQRT(((C93+D93+E93)/2*(((C93+D93+E93)/2-C93)*(((C93+D93+E93)/2-D93)*(((C93+D93+E93))/2-E93)))))/10000</f>
        <v>4.427865597553747E-2</v>
      </c>
      <c r="N93" s="859" t="s">
        <v>4</v>
      </c>
      <c r="O93" s="857" t="s">
        <v>22</v>
      </c>
      <c r="P93" s="860">
        <f t="shared" si="12"/>
        <v>1</v>
      </c>
      <c r="Q93" s="861">
        <v>29</v>
      </c>
      <c r="R93" s="854">
        <f>M93</f>
        <v>4.427865597553747E-2</v>
      </c>
      <c r="S93" s="862">
        <f t="shared" si="13"/>
        <v>1.2840810232905866</v>
      </c>
      <c r="T93" s="856">
        <v>4.4278699999999997E-2</v>
      </c>
      <c r="U93" s="857">
        <f t="shared" si="14"/>
        <v>1.2840822999999999</v>
      </c>
      <c r="V93" s="861" t="s">
        <v>4</v>
      </c>
    </row>
    <row r="94" spans="2:22" ht="15.95" customHeight="1" x14ac:dyDescent="0.25">
      <c r="B94" s="854" t="s">
        <v>32</v>
      </c>
      <c r="C94" s="855"/>
      <c r="D94" s="856"/>
      <c r="E94" s="856"/>
      <c r="F94" s="856"/>
      <c r="G94" s="856">
        <v>25</v>
      </c>
      <c r="H94" s="856">
        <v>73</v>
      </c>
      <c r="I94" s="856">
        <f>(H94*H94)/(8*G94)+G94/2</f>
        <v>39.144999999999996</v>
      </c>
      <c r="J94" s="856">
        <f>2*ASIN(H94/(2*I94))</f>
        <v>2.4021645255160307</v>
      </c>
      <c r="K94" s="856"/>
      <c r="L94" s="857"/>
      <c r="M94" s="858">
        <f>((I94*I94)/2)*(J94-SIN(J94))</f>
        <v>1324.1631148013089</v>
      </c>
      <c r="N94" s="859" t="s">
        <v>16</v>
      </c>
      <c r="O94" s="857" t="s">
        <v>21</v>
      </c>
      <c r="P94" s="860">
        <f t="shared" si="12"/>
        <v>-1</v>
      </c>
      <c r="Q94" s="861">
        <v>12</v>
      </c>
      <c r="R94" s="854">
        <f>M94/10000</f>
        <v>0.13241631148013089</v>
      </c>
      <c r="S94" s="862">
        <f t="shared" si="13"/>
        <v>-1.5889957377615707</v>
      </c>
      <c r="T94" s="856">
        <v>0.13241600000000001</v>
      </c>
      <c r="U94" s="857">
        <f t="shared" si="14"/>
        <v>-1.5889920000000002</v>
      </c>
      <c r="V94" s="861" t="s">
        <v>4</v>
      </c>
    </row>
    <row r="95" spans="2:22" ht="15.95" customHeight="1" x14ac:dyDescent="0.25">
      <c r="B95" s="854" t="s">
        <v>30</v>
      </c>
      <c r="C95" s="855">
        <v>9</v>
      </c>
      <c r="D95" s="856">
        <v>3</v>
      </c>
      <c r="E95" s="856">
        <v>7</v>
      </c>
      <c r="F95" s="856">
        <v>4</v>
      </c>
      <c r="G95" s="856"/>
      <c r="H95" s="856"/>
      <c r="I95" s="856"/>
      <c r="J95" s="856"/>
      <c r="K95" s="856"/>
      <c r="L95" s="857">
        <v>6</v>
      </c>
      <c r="M95" s="858">
        <f>(SQRT(((C95+F95+L95)/2*(((C95+F95+L95)/2-C95)*(((C95+F95+L95)/2-F95)*(((C95+F95+L95))/2-L95)))))+SQRT(((D95+E95+L95)/2*(((D95+E95+L95)/2-D95)*(((D95+E95+L95)/2-E95)*(((D95+E95+L95))/2-L95))))))*1000000</f>
        <v>18506567.659451798</v>
      </c>
      <c r="N95" s="859" t="s">
        <v>19</v>
      </c>
      <c r="O95" s="857" t="s">
        <v>23</v>
      </c>
      <c r="P95" s="860">
        <f t="shared" si="12"/>
        <v>0</v>
      </c>
      <c r="Q95" s="861">
        <v>2</v>
      </c>
      <c r="R95" s="854">
        <f>M95/1000000/10000</f>
        <v>1.8506567659451797E-3</v>
      </c>
      <c r="S95" s="862">
        <f t="shared" si="13"/>
        <v>0</v>
      </c>
      <c r="T95" s="856">
        <v>1.8506600000000001E-3</v>
      </c>
      <c r="U95" s="857">
        <f t="shared" si="14"/>
        <v>0</v>
      </c>
      <c r="V95" s="861" t="s">
        <v>4</v>
      </c>
    </row>
    <row r="96" spans="2:22" ht="15.95" customHeight="1" x14ac:dyDescent="0.25">
      <c r="B96" s="854" t="s">
        <v>31</v>
      </c>
      <c r="C96" s="855"/>
      <c r="D96" s="856"/>
      <c r="E96" s="856"/>
      <c r="F96" s="856"/>
      <c r="G96" s="856"/>
      <c r="H96" s="856"/>
      <c r="I96" s="856"/>
      <c r="J96" s="856"/>
      <c r="K96" s="856">
        <v>94</v>
      </c>
      <c r="L96" s="857"/>
      <c r="M96" s="858">
        <f>PI()*K96^2/4/144*10000/(2.54*2.54)</f>
        <v>74699.150552875915</v>
      </c>
      <c r="N96" s="859" t="s">
        <v>6</v>
      </c>
      <c r="O96" s="857" t="s">
        <v>22</v>
      </c>
      <c r="P96" s="860">
        <f t="shared" si="12"/>
        <v>1</v>
      </c>
      <c r="Q96" s="861">
        <v>77</v>
      </c>
      <c r="R96" s="854">
        <f>M96*144/10000*(2.54*2.54)/10000</f>
        <v>0.69397781717798523</v>
      </c>
      <c r="S96" s="862">
        <f t="shared" si="13"/>
        <v>53.436291922704861</v>
      </c>
      <c r="T96" s="856">
        <v>0.69397799999999998</v>
      </c>
      <c r="U96" s="857">
        <f t="shared" si="14"/>
        <v>53.436306000000002</v>
      </c>
      <c r="V96" s="861" t="s">
        <v>4</v>
      </c>
    </row>
    <row r="97" spans="2:24" ht="15.95" customHeight="1" thickBot="1" x14ac:dyDescent="0.3">
      <c r="B97" s="863" t="s">
        <v>29</v>
      </c>
      <c r="C97" s="864">
        <v>160</v>
      </c>
      <c r="D97" s="865"/>
      <c r="E97" s="865"/>
      <c r="F97" s="865"/>
      <c r="G97" s="865"/>
      <c r="H97" s="865"/>
      <c r="I97" s="865"/>
      <c r="J97" s="865"/>
      <c r="K97" s="865"/>
      <c r="L97" s="866"/>
      <c r="M97" s="867">
        <f>C97^2*10000/(2.54*2.54)</f>
        <v>39680079.360158719</v>
      </c>
      <c r="N97" s="868" t="s">
        <v>20</v>
      </c>
      <c r="O97" s="866" t="s">
        <v>21</v>
      </c>
      <c r="P97" s="869">
        <f t="shared" si="12"/>
        <v>-1</v>
      </c>
      <c r="Q97" s="870">
        <v>28</v>
      </c>
      <c r="R97" s="863">
        <f>M97/10000*(2.54*2.54)/10000</f>
        <v>2.56</v>
      </c>
      <c r="S97" s="871">
        <f t="shared" si="13"/>
        <v>-71.680000000000007</v>
      </c>
      <c r="T97" s="865">
        <v>2.56</v>
      </c>
      <c r="U97" s="866">
        <f t="shared" si="14"/>
        <v>-71.680000000000007</v>
      </c>
      <c r="V97" s="870" t="s">
        <v>4</v>
      </c>
    </row>
    <row r="98" spans="2:24" ht="15" customHeight="1" thickTop="1" thickBot="1" x14ac:dyDescent="0.3">
      <c r="B98" s="872"/>
      <c r="C98" s="873"/>
      <c r="D98" s="873"/>
      <c r="E98" s="873"/>
      <c r="F98" s="873"/>
      <c r="G98" s="873"/>
      <c r="H98" s="873"/>
      <c r="I98" s="873"/>
      <c r="J98" s="873"/>
      <c r="K98" s="873"/>
      <c r="L98" s="874"/>
      <c r="M98" s="848"/>
      <c r="N98" s="848"/>
      <c r="O98" s="848"/>
      <c r="P98" s="848"/>
      <c r="Q98" s="848"/>
      <c r="R98" s="848"/>
      <c r="S98" s="848"/>
      <c r="T98" s="848"/>
      <c r="U98" s="848"/>
      <c r="V98" s="850"/>
    </row>
    <row r="99" spans="2:24" ht="15" customHeight="1" thickTop="1" thickBot="1" x14ac:dyDescent="0.3">
      <c r="B99" s="845"/>
      <c r="C99" s="848"/>
      <c r="D99" s="848"/>
      <c r="E99" s="848"/>
      <c r="F99" s="848"/>
      <c r="G99" s="848"/>
      <c r="H99" s="848"/>
      <c r="I99" s="848"/>
      <c r="J99" s="848"/>
      <c r="K99" s="848"/>
      <c r="L99" s="850"/>
      <c r="M99" s="995" t="s">
        <v>15</v>
      </c>
      <c r="N99" s="996"/>
      <c r="O99" s="996"/>
      <c r="P99" s="996"/>
      <c r="Q99" s="997"/>
      <c r="R99" s="875">
        <f>SUM(S89:S97)</f>
        <v>-20.311977369759688</v>
      </c>
      <c r="S99" s="876">
        <f>SUM(S89:S97)</f>
        <v>-20.311977369759688</v>
      </c>
      <c r="T99" s="876">
        <f>SUM(U89:U97)</f>
        <v>-20.311962300000005</v>
      </c>
      <c r="U99" s="877">
        <f>SUM(U89:U98)</f>
        <v>-20.311962300000005</v>
      </c>
      <c r="V99" s="876" t="s">
        <v>4</v>
      </c>
    </row>
    <row r="100" spans="2:24" ht="15" customHeight="1" thickBot="1" x14ac:dyDescent="0.3">
      <c r="B100" s="863"/>
      <c r="C100" s="866"/>
      <c r="D100" s="866"/>
      <c r="E100" s="866"/>
      <c r="F100" s="866"/>
      <c r="G100" s="866"/>
      <c r="H100" s="866"/>
      <c r="I100" s="866"/>
      <c r="J100" s="866"/>
      <c r="K100" s="866"/>
      <c r="L100" s="868"/>
      <c r="M100" s="949" t="s">
        <v>26</v>
      </c>
      <c r="N100" s="950"/>
      <c r="O100" s="950"/>
      <c r="P100" s="950"/>
      <c r="Q100" s="951"/>
      <c r="R100" s="878">
        <f xml:space="preserve"> (R99-T99)/R99</f>
        <v>7.4191495044294673E-7</v>
      </c>
      <c r="S100" s="866"/>
      <c r="T100" s="866"/>
      <c r="U100" s="866"/>
      <c r="V100" s="868"/>
    </row>
    <row r="101" spans="2:24" ht="15" customHeight="1" thickTop="1" x14ac:dyDescent="0.25"/>
    <row r="105" spans="2:24" ht="15" customHeight="1" x14ac:dyDescent="0.25">
      <c r="K105" s="12"/>
      <c r="L105" s="14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2:24" ht="15" customHeight="1" thickBot="1" x14ac:dyDescent="0.3">
      <c r="K106" s="12"/>
      <c r="L106" s="14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2:24" s="716" customFormat="1" ht="20.100000000000001" customHeight="1" thickTop="1" thickBot="1" x14ac:dyDescent="0.3">
      <c r="B107" s="442" t="s">
        <v>27</v>
      </c>
      <c r="C107" s="989" t="s">
        <v>28</v>
      </c>
      <c r="D107" s="990"/>
      <c r="E107" s="990"/>
      <c r="F107" s="990"/>
      <c r="G107" s="990"/>
      <c r="H107" s="990"/>
      <c r="I107" s="990"/>
      <c r="J107" s="990"/>
      <c r="K107" s="990"/>
      <c r="L107" s="991"/>
      <c r="M107" s="897" t="s">
        <v>13</v>
      </c>
      <c r="N107" s="899"/>
      <c r="O107" s="441"/>
      <c r="P107" s="441"/>
      <c r="Q107" s="441"/>
      <c r="R107" s="897" t="s">
        <v>14</v>
      </c>
      <c r="S107" s="898"/>
      <c r="T107" s="898"/>
      <c r="U107" s="898"/>
      <c r="V107" s="899"/>
      <c r="W107" s="715"/>
      <c r="X107" s="715"/>
    </row>
    <row r="108" spans="2:24" s="714" customFormat="1" ht="17.100000000000001" customHeight="1" thickBot="1" x14ac:dyDescent="0.3">
      <c r="B108" s="323"/>
      <c r="C108" s="728" t="s">
        <v>40</v>
      </c>
      <c r="D108" s="729" t="s">
        <v>39</v>
      </c>
      <c r="E108" s="729" t="s">
        <v>38</v>
      </c>
      <c r="F108" s="729" t="s">
        <v>37</v>
      </c>
      <c r="G108" s="729" t="s">
        <v>41</v>
      </c>
      <c r="H108" s="729" t="s">
        <v>42</v>
      </c>
      <c r="I108" s="729" t="s">
        <v>43</v>
      </c>
      <c r="J108" s="729" t="s">
        <v>44</v>
      </c>
      <c r="K108" s="729" t="s">
        <v>36</v>
      </c>
      <c r="L108" s="322" t="s">
        <v>46</v>
      </c>
      <c r="M108" s="321" t="s">
        <v>24</v>
      </c>
      <c r="N108" s="730" t="s">
        <v>12</v>
      </c>
      <c r="O108" s="322" t="s">
        <v>9</v>
      </c>
      <c r="P108" s="731"/>
      <c r="Q108" s="324" t="s">
        <v>10</v>
      </c>
      <c r="R108" s="321" t="s">
        <v>11</v>
      </c>
      <c r="S108" s="732"/>
      <c r="T108" s="729" t="s">
        <v>25</v>
      </c>
      <c r="U108" s="322"/>
      <c r="V108" s="324" t="s">
        <v>12</v>
      </c>
      <c r="W108" s="713"/>
      <c r="X108" s="713"/>
    </row>
    <row r="109" spans="2:24" ht="15.95" customHeight="1" x14ac:dyDescent="0.25">
      <c r="B109" s="134" t="s">
        <v>30</v>
      </c>
      <c r="C109" s="126">
        <v>31</v>
      </c>
      <c r="D109" s="127">
        <v>30</v>
      </c>
      <c r="E109" s="127">
        <v>42</v>
      </c>
      <c r="F109" s="127">
        <v>29</v>
      </c>
      <c r="G109" s="127"/>
      <c r="H109" s="127"/>
      <c r="I109" s="127"/>
      <c r="J109" s="127"/>
      <c r="K109" s="127"/>
      <c r="L109" s="128">
        <v>46</v>
      </c>
      <c r="M109" s="129">
        <f>(SQRT(((C109+F109+L109)/2*(((C109+F109+L109)/2-C109)*(((C109+F109+L109)/2-F109)*(((C109+F109+L109))/2-L109)))))+SQRT(((D109+E109+L109)/2*(((D109+E109+L109)/2-D109)*(((D109+E109+L109)/2-E109)*(((D109+E109+L109))/2-L109))))))/100</f>
        <v>10.575159357287014</v>
      </c>
      <c r="N109" s="130" t="s">
        <v>0</v>
      </c>
      <c r="O109" s="128" t="s">
        <v>22</v>
      </c>
      <c r="P109" s="131">
        <f>IF(O109="PLUS",1,IF(O109="MINUS",-1,0))</f>
        <v>1</v>
      </c>
      <c r="Q109" s="132">
        <v>9</v>
      </c>
      <c r="R109" s="125">
        <f>M109*100</f>
        <v>1057.5159357287014</v>
      </c>
      <c r="S109" s="133">
        <f>P109*Q109*R109</f>
        <v>9517.6434215583122</v>
      </c>
      <c r="T109" s="127">
        <v>1057.52</v>
      </c>
      <c r="U109" s="128">
        <f>P109*Q109*T109</f>
        <v>9517.68</v>
      </c>
      <c r="V109" s="132" t="s">
        <v>2</v>
      </c>
      <c r="W109" s="12"/>
      <c r="X109" s="12"/>
    </row>
    <row r="110" spans="2:24" ht="15.95" customHeight="1" x14ac:dyDescent="0.25">
      <c r="B110" s="134" t="s">
        <v>35</v>
      </c>
      <c r="C110" s="135">
        <v>89</v>
      </c>
      <c r="D110" s="136">
        <v>89</v>
      </c>
      <c r="E110" s="136">
        <v>6</v>
      </c>
      <c r="F110" s="136"/>
      <c r="G110" s="136"/>
      <c r="H110" s="136"/>
      <c r="I110" s="136"/>
      <c r="J110" s="136"/>
      <c r="K110" s="136"/>
      <c r="L110" s="137"/>
      <c r="M110" s="138">
        <f>SQRT(((C110+D110+E110)/2*(((C110+D110+E110)/2-C110)*(((C110+D110+E110)/2-D110)*(((C110+D110+E110))/2-E110)))))/4046.8564224</f>
        <v>6.593964392168622E-2</v>
      </c>
      <c r="N110" s="139" t="s">
        <v>1</v>
      </c>
      <c r="O110" s="137" t="s">
        <v>23</v>
      </c>
      <c r="P110" s="140">
        <f t="shared" ref="P110:P117" si="15">IF(O110="PLUS",1,IF(O110="MINUS",-1,0))</f>
        <v>0</v>
      </c>
      <c r="Q110" s="141">
        <v>34</v>
      </c>
      <c r="R110" s="134">
        <f>M110*4046.8564224</f>
        <v>266.848271495245</v>
      </c>
      <c r="S110" s="142">
        <f t="shared" ref="S110:S117" si="16">P110*Q110*R110</f>
        <v>0</v>
      </c>
      <c r="T110" s="136">
        <v>266.84800000000001</v>
      </c>
      <c r="U110" s="137">
        <f t="shared" ref="U110:U117" si="17">P110*Q110*T110</f>
        <v>0</v>
      </c>
      <c r="V110" s="141" t="s">
        <v>2</v>
      </c>
      <c r="W110" s="12"/>
      <c r="X110" s="12"/>
    </row>
    <row r="111" spans="2:24" ht="15.95" customHeight="1" x14ac:dyDescent="0.25">
      <c r="B111" s="134" t="s">
        <v>31</v>
      </c>
      <c r="C111" s="135"/>
      <c r="D111" s="136"/>
      <c r="E111" s="136"/>
      <c r="F111" s="136"/>
      <c r="G111" s="136"/>
      <c r="H111" s="136"/>
      <c r="I111" s="136"/>
      <c r="J111" s="136"/>
      <c r="K111" s="136">
        <v>38</v>
      </c>
      <c r="L111" s="137"/>
      <c r="M111" s="138">
        <f>PI()*K111^2/4*10000</f>
        <v>11341149.479459152</v>
      </c>
      <c r="N111" s="139" t="s">
        <v>17</v>
      </c>
      <c r="O111" s="137" t="s">
        <v>21</v>
      </c>
      <c r="P111" s="140">
        <f t="shared" si="15"/>
        <v>-1</v>
      </c>
      <c r="Q111" s="141">
        <v>10</v>
      </c>
      <c r="R111" s="134">
        <f>M111/10000</f>
        <v>1134.1149479459152</v>
      </c>
      <c r="S111" s="142">
        <f t="shared" si="16"/>
        <v>-11341.149479459153</v>
      </c>
      <c r="T111" s="136">
        <v>1134.1099999999999</v>
      </c>
      <c r="U111" s="137">
        <f t="shared" si="17"/>
        <v>-11341.099999999999</v>
      </c>
      <c r="V111" s="141" t="s">
        <v>2</v>
      </c>
      <c r="W111" s="12"/>
      <c r="X111" s="12"/>
    </row>
    <row r="112" spans="2:24" ht="15.95" customHeight="1" x14ac:dyDescent="0.25">
      <c r="B112" s="134" t="s">
        <v>33</v>
      </c>
      <c r="C112" s="135"/>
      <c r="D112" s="136"/>
      <c r="E112" s="136"/>
      <c r="F112" s="136"/>
      <c r="G112" s="136"/>
      <c r="H112" s="136"/>
      <c r="I112" s="136">
        <v>86</v>
      </c>
      <c r="J112" s="136">
        <v>34</v>
      </c>
      <c r="K112" s="136"/>
      <c r="L112" s="137"/>
      <c r="M112" s="138">
        <f>(J112*PI()/180)*I112^2/2*100</f>
        <v>219443.73751175107</v>
      </c>
      <c r="N112" s="139" t="s">
        <v>18</v>
      </c>
      <c r="O112" s="137" t="s">
        <v>21</v>
      </c>
      <c r="P112" s="140">
        <f t="shared" si="15"/>
        <v>-1</v>
      </c>
      <c r="Q112" s="141">
        <v>55</v>
      </c>
      <c r="R112" s="134">
        <f>M112/100</f>
        <v>2194.4373751175108</v>
      </c>
      <c r="S112" s="142">
        <f t="shared" si="16"/>
        <v>-120694.0556314631</v>
      </c>
      <c r="T112" s="136">
        <v>2194.44</v>
      </c>
      <c r="U112" s="137">
        <f t="shared" si="17"/>
        <v>-120694.2</v>
      </c>
      <c r="V112" s="141" t="s">
        <v>2</v>
      </c>
      <c r="W112" s="12"/>
      <c r="X112" s="12"/>
    </row>
    <row r="113" spans="2:24" ht="15.95" customHeight="1" x14ac:dyDescent="0.25">
      <c r="B113" s="134" t="s">
        <v>35</v>
      </c>
      <c r="C113" s="135">
        <v>7</v>
      </c>
      <c r="D113" s="136">
        <v>48</v>
      </c>
      <c r="E113" s="136">
        <v>48</v>
      </c>
      <c r="F113" s="136"/>
      <c r="G113" s="136"/>
      <c r="H113" s="136"/>
      <c r="I113" s="136"/>
      <c r="J113" s="136"/>
      <c r="K113" s="136"/>
      <c r="L113" s="137"/>
      <c r="M113" s="138">
        <f>SQRT(((C113+D113+E113)/2*(((C113+D113+E113)/2-C113)*(((C113+D113+E113)/2-D113)*(((C113+D113+E113))/2-E113)))))/10000</f>
        <v>1.6755279018864474E-2</v>
      </c>
      <c r="N113" s="139" t="s">
        <v>4</v>
      </c>
      <c r="O113" s="137" t="s">
        <v>22</v>
      </c>
      <c r="P113" s="140">
        <f t="shared" si="15"/>
        <v>1</v>
      </c>
      <c r="Q113" s="141">
        <v>77</v>
      </c>
      <c r="R113" s="134">
        <f>M113*10000</f>
        <v>167.55279018864474</v>
      </c>
      <c r="S113" s="142">
        <f t="shared" si="16"/>
        <v>12901.564844525645</v>
      </c>
      <c r="T113" s="136">
        <v>167.553</v>
      </c>
      <c r="U113" s="137">
        <f t="shared" si="17"/>
        <v>12901.581</v>
      </c>
      <c r="V113" s="141" t="s">
        <v>2</v>
      </c>
      <c r="W113" s="12"/>
      <c r="X113" s="12"/>
    </row>
    <row r="114" spans="2:24" ht="15.95" customHeight="1" x14ac:dyDescent="0.25">
      <c r="B114" s="134" t="s">
        <v>31</v>
      </c>
      <c r="C114" s="135"/>
      <c r="D114" s="136"/>
      <c r="E114" s="136"/>
      <c r="F114" s="136"/>
      <c r="G114" s="136"/>
      <c r="H114" s="136"/>
      <c r="I114" s="136"/>
      <c r="J114" s="136"/>
      <c r="K114" s="136">
        <v>9</v>
      </c>
      <c r="L114" s="137"/>
      <c r="M114" s="138">
        <f>PI()*K114^2/4</f>
        <v>63.617251235193308</v>
      </c>
      <c r="N114" s="139" t="s">
        <v>16</v>
      </c>
      <c r="O114" s="137" t="s">
        <v>22</v>
      </c>
      <c r="P114" s="140">
        <f t="shared" si="15"/>
        <v>1</v>
      </c>
      <c r="Q114" s="141">
        <v>34</v>
      </c>
      <c r="R114" s="134">
        <f>M114</f>
        <v>63.617251235193308</v>
      </c>
      <c r="S114" s="142">
        <f t="shared" si="16"/>
        <v>2162.9865419965727</v>
      </c>
      <c r="T114" s="136">
        <v>63.6173</v>
      </c>
      <c r="U114" s="137">
        <f t="shared" si="17"/>
        <v>2162.9881999999998</v>
      </c>
      <c r="V114" s="141" t="s">
        <v>2</v>
      </c>
      <c r="W114" s="12"/>
      <c r="X114" s="12"/>
    </row>
    <row r="115" spans="2:24" ht="15.95" customHeight="1" x14ac:dyDescent="0.25">
      <c r="B115" s="134" t="s">
        <v>29</v>
      </c>
      <c r="C115" s="135">
        <v>760</v>
      </c>
      <c r="D115" s="136"/>
      <c r="E115" s="136"/>
      <c r="F115" s="136"/>
      <c r="G115" s="136"/>
      <c r="H115" s="136"/>
      <c r="I115" s="136"/>
      <c r="J115" s="136"/>
      <c r="K115" s="136"/>
      <c r="L115" s="137"/>
      <c r="M115" s="138">
        <f>C115^2*1000000</f>
        <v>577600000000</v>
      </c>
      <c r="N115" s="139" t="s">
        <v>19</v>
      </c>
      <c r="O115" s="137" t="s">
        <v>22</v>
      </c>
      <c r="P115" s="140">
        <f t="shared" si="15"/>
        <v>1</v>
      </c>
      <c r="Q115" s="141">
        <v>2</v>
      </c>
      <c r="R115" s="134">
        <f>M115/1000000</f>
        <v>577600</v>
      </c>
      <c r="S115" s="142">
        <f t="shared" si="16"/>
        <v>1155200</v>
      </c>
      <c r="T115" s="136">
        <v>577600</v>
      </c>
      <c r="U115" s="137">
        <f t="shared" si="17"/>
        <v>1155200</v>
      </c>
      <c r="V115" s="141" t="s">
        <v>2</v>
      </c>
      <c r="W115" s="12"/>
      <c r="X115" s="12"/>
    </row>
    <row r="116" spans="2:24" ht="15.95" customHeight="1" x14ac:dyDescent="0.25">
      <c r="B116" s="134" t="s">
        <v>45</v>
      </c>
      <c r="C116" s="135"/>
      <c r="D116" s="136"/>
      <c r="E116" s="136"/>
      <c r="F116" s="136"/>
      <c r="G116" s="136"/>
      <c r="H116" s="136"/>
      <c r="I116" s="136"/>
      <c r="J116" s="136"/>
      <c r="K116" s="136">
        <v>45</v>
      </c>
      <c r="L116" s="137"/>
      <c r="M116" s="138">
        <f>PI()*K116^2/4/144*10000/(2.54*2.54)</f>
        <v>17119.259831323416</v>
      </c>
      <c r="N116" s="139" t="s">
        <v>6</v>
      </c>
      <c r="O116" s="137" t="s">
        <v>23</v>
      </c>
      <c r="P116" s="140">
        <f t="shared" si="15"/>
        <v>0</v>
      </c>
      <c r="Q116" s="141">
        <v>8</v>
      </c>
      <c r="R116" s="134">
        <f>M116*144/10000*(2.54*2.54)</f>
        <v>1590.4312808798325</v>
      </c>
      <c r="S116" s="142">
        <f t="shared" si="16"/>
        <v>0</v>
      </c>
      <c r="T116" s="136">
        <v>1590.43</v>
      </c>
      <c r="U116" s="137">
        <f t="shared" si="17"/>
        <v>0</v>
      </c>
      <c r="V116" s="141" t="s">
        <v>2</v>
      </c>
      <c r="W116" s="12"/>
      <c r="X116" s="12"/>
    </row>
    <row r="117" spans="2:24" ht="15.95" customHeight="1" thickBot="1" x14ac:dyDescent="0.3">
      <c r="B117" s="143" t="s">
        <v>34</v>
      </c>
      <c r="C117" s="144">
        <v>79</v>
      </c>
      <c r="D117" s="145">
        <v>50</v>
      </c>
      <c r="E117" s="145"/>
      <c r="F117" s="145"/>
      <c r="G117" s="145"/>
      <c r="H117" s="145"/>
      <c r="I117" s="145"/>
      <c r="J117" s="145"/>
      <c r="K117" s="145"/>
      <c r="L117" s="146"/>
      <c r="M117" s="147">
        <f>C117*D117*10000/(2.54*2.54)</f>
        <v>6122512.2450244902</v>
      </c>
      <c r="N117" s="148" t="s">
        <v>20</v>
      </c>
      <c r="O117" s="146" t="s">
        <v>21</v>
      </c>
      <c r="P117" s="149">
        <f t="shared" si="15"/>
        <v>-1</v>
      </c>
      <c r="Q117" s="150">
        <v>5</v>
      </c>
      <c r="R117" s="143">
        <f>M117/10000*(2.54*2.54)</f>
        <v>3949.9999999999995</v>
      </c>
      <c r="S117" s="151">
        <f t="shared" si="16"/>
        <v>-19749.999999999996</v>
      </c>
      <c r="T117" s="145">
        <v>3950</v>
      </c>
      <c r="U117" s="146">
        <f t="shared" si="17"/>
        <v>-19750</v>
      </c>
      <c r="V117" s="798" t="s">
        <v>2</v>
      </c>
      <c r="W117" s="12"/>
      <c r="X117" s="12"/>
    </row>
    <row r="118" spans="2:24" ht="15" customHeight="1" thickTop="1" thickBot="1" x14ac:dyDescent="0.3">
      <c r="B118" s="428"/>
      <c r="C118" s="430"/>
      <c r="D118" s="430"/>
      <c r="E118" s="430"/>
      <c r="F118" s="430"/>
      <c r="G118" s="430"/>
      <c r="H118" s="430"/>
      <c r="I118" s="430"/>
      <c r="J118" s="430"/>
      <c r="K118" s="430"/>
      <c r="L118" s="429"/>
      <c r="M118" s="128"/>
      <c r="N118" s="128"/>
      <c r="O118" s="128"/>
      <c r="P118" s="128"/>
      <c r="Q118" s="128"/>
      <c r="R118" s="128"/>
      <c r="S118" s="128"/>
      <c r="T118" s="128"/>
      <c r="U118" s="128"/>
      <c r="V118" s="130"/>
      <c r="W118" s="12"/>
      <c r="X118" s="12"/>
    </row>
    <row r="119" spans="2:24" ht="15" customHeight="1" thickTop="1" thickBot="1" x14ac:dyDescent="0.3">
      <c r="B119" s="125"/>
      <c r="C119" s="128"/>
      <c r="D119" s="128"/>
      <c r="E119" s="128"/>
      <c r="F119" s="128"/>
      <c r="G119" s="128"/>
      <c r="H119" s="128"/>
      <c r="I119" s="128"/>
      <c r="J119" s="128"/>
      <c r="K119" s="128"/>
      <c r="L119" s="130"/>
      <c r="M119" s="943" t="s">
        <v>15</v>
      </c>
      <c r="N119" s="944"/>
      <c r="O119" s="944"/>
      <c r="P119" s="944"/>
      <c r="Q119" s="945"/>
      <c r="R119" s="152">
        <f>SUM(S109:S117)</f>
        <v>1027996.9896971583</v>
      </c>
      <c r="S119" s="153">
        <f>SUM(S109:S117)</f>
        <v>1027996.9896971583</v>
      </c>
      <c r="T119" s="153">
        <f>SUM(U109:U117)</f>
        <v>1027996.9492</v>
      </c>
      <c r="U119" s="154">
        <f>SUM(U109:U118)</f>
        <v>1027996.9492</v>
      </c>
      <c r="V119" s="153" t="s">
        <v>2</v>
      </c>
      <c r="W119" s="12"/>
      <c r="X119" s="12"/>
    </row>
    <row r="120" spans="2:24" ht="15" customHeight="1" thickBot="1" x14ac:dyDescent="0.3">
      <c r="B120" s="143"/>
      <c r="C120" s="146"/>
      <c r="D120" s="146"/>
      <c r="E120" s="146"/>
      <c r="F120" s="146"/>
      <c r="G120" s="146"/>
      <c r="H120" s="146"/>
      <c r="I120" s="146"/>
      <c r="J120" s="146"/>
      <c r="K120" s="146"/>
      <c r="L120" s="148"/>
      <c r="M120" s="946" t="s">
        <v>26</v>
      </c>
      <c r="N120" s="947"/>
      <c r="O120" s="947"/>
      <c r="P120" s="947"/>
      <c r="Q120" s="948"/>
      <c r="R120" s="750">
        <f xml:space="preserve"> (R119-T119)/R119</f>
        <v>3.9394238223127859E-8</v>
      </c>
      <c r="S120" s="146"/>
      <c r="T120" s="146"/>
      <c r="U120" s="146"/>
      <c r="V120" s="148"/>
      <c r="W120" s="12"/>
      <c r="X120" s="12"/>
    </row>
    <row r="121" spans="2:24" ht="15" customHeight="1" thickTop="1" x14ac:dyDescent="0.25">
      <c r="K121" s="12"/>
      <c r="L121" s="14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2:24" ht="15" customHeight="1" x14ac:dyDescent="0.25">
      <c r="K122" s="12"/>
      <c r="L122" s="14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2:24" ht="15" customHeight="1" x14ac:dyDescent="0.25">
      <c r="K123" s="12"/>
      <c r="L123" s="14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2:24" ht="15" customHeight="1" x14ac:dyDescent="0.25">
      <c r="K124" s="12"/>
      <c r="L124" s="14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2:24" ht="15" customHeight="1" x14ac:dyDescent="0.25">
      <c r="K125" s="12"/>
      <c r="L125" s="14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2:24" ht="15" customHeight="1" thickBot="1" x14ac:dyDescent="0.3">
      <c r="K126" s="12"/>
      <c r="L126" s="14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2:24" s="716" customFormat="1" ht="20.100000000000001" customHeight="1" thickTop="1" thickBot="1" x14ac:dyDescent="0.3">
      <c r="B127" s="434" t="s">
        <v>27</v>
      </c>
      <c r="C127" s="986" t="s">
        <v>28</v>
      </c>
      <c r="D127" s="987"/>
      <c r="E127" s="987"/>
      <c r="F127" s="987"/>
      <c r="G127" s="987"/>
      <c r="H127" s="987"/>
      <c r="I127" s="987"/>
      <c r="J127" s="987"/>
      <c r="K127" s="987"/>
      <c r="L127" s="988"/>
      <c r="M127" s="952" t="s">
        <v>13</v>
      </c>
      <c r="N127" s="953"/>
      <c r="O127" s="435"/>
      <c r="P127" s="435"/>
      <c r="Q127" s="435"/>
      <c r="R127" s="952" t="s">
        <v>14</v>
      </c>
      <c r="S127" s="985"/>
      <c r="T127" s="985"/>
      <c r="U127" s="985"/>
      <c r="V127" s="953"/>
      <c r="W127" s="715"/>
      <c r="X127" s="715"/>
    </row>
    <row r="128" spans="2:24" s="714" customFormat="1" ht="17.100000000000001" customHeight="1" thickBot="1" x14ac:dyDescent="0.3">
      <c r="B128" s="311"/>
      <c r="C128" s="733" t="s">
        <v>40</v>
      </c>
      <c r="D128" s="734" t="s">
        <v>39</v>
      </c>
      <c r="E128" s="734" t="s">
        <v>38</v>
      </c>
      <c r="F128" s="734" t="s">
        <v>37</v>
      </c>
      <c r="G128" s="734" t="s">
        <v>41</v>
      </c>
      <c r="H128" s="734" t="s">
        <v>42</v>
      </c>
      <c r="I128" s="734" t="s">
        <v>43</v>
      </c>
      <c r="J128" s="734" t="s">
        <v>44</v>
      </c>
      <c r="K128" s="734" t="s">
        <v>36</v>
      </c>
      <c r="L128" s="310" t="s">
        <v>46</v>
      </c>
      <c r="M128" s="309" t="s">
        <v>24</v>
      </c>
      <c r="N128" s="735" t="s">
        <v>12</v>
      </c>
      <c r="O128" s="310" t="s">
        <v>9</v>
      </c>
      <c r="P128" s="736"/>
      <c r="Q128" s="312" t="s">
        <v>10</v>
      </c>
      <c r="R128" s="309" t="s">
        <v>11</v>
      </c>
      <c r="S128" s="737"/>
      <c r="T128" s="734" t="s">
        <v>25</v>
      </c>
      <c r="U128" s="310"/>
      <c r="V128" s="312" t="s">
        <v>12</v>
      </c>
      <c r="W128" s="713"/>
      <c r="X128" s="713"/>
    </row>
    <row r="129" spans="2:24" ht="15.95" customHeight="1" x14ac:dyDescent="0.25">
      <c r="B129" s="35" t="s">
        <v>30</v>
      </c>
      <c r="C129" s="86">
        <v>7</v>
      </c>
      <c r="D129" s="3">
        <v>15</v>
      </c>
      <c r="E129" s="3">
        <v>6</v>
      </c>
      <c r="F129" s="3">
        <v>6</v>
      </c>
      <c r="G129" s="3"/>
      <c r="H129" s="3"/>
      <c r="I129" s="3"/>
      <c r="J129" s="3"/>
      <c r="K129" s="3"/>
      <c r="L129" s="5">
        <v>12</v>
      </c>
      <c r="M129" s="83">
        <f>(SQRT(((C129+F129+L129)/2*(((C129+F129+L129)/2-C129)*(((C129+F129+L129)/2-F129)*(((C129+F129+L129))/2-L129)))))+SQRT(((D129+E129+L129)/2*(((D129+E129+L129)/2-D129)*(((D129+E129+L129)/2-E129)*(((D129+E129+L129))/2-L129))))))/100</f>
        <v>0.49144865274410743</v>
      </c>
      <c r="N129" s="6" t="s">
        <v>0</v>
      </c>
      <c r="O129" s="5" t="s">
        <v>22</v>
      </c>
      <c r="P129" s="7">
        <f>IF(O129="PLUS",1,IF(O129="MINUS",-1,0))</f>
        <v>1</v>
      </c>
      <c r="Q129" s="34">
        <v>6</v>
      </c>
      <c r="R129" s="4">
        <f>M129*100*1000000</f>
        <v>49144865.27441074</v>
      </c>
      <c r="S129" s="156">
        <f>P129*Q129*R129</f>
        <v>294869191.64646447</v>
      </c>
      <c r="T129" s="3">
        <v>49144865</v>
      </c>
      <c r="U129" s="5">
        <f>P129*Q129*T129</f>
        <v>294869190</v>
      </c>
      <c r="V129" s="34" t="s">
        <v>5</v>
      </c>
      <c r="W129" s="12"/>
      <c r="X129" s="12"/>
    </row>
    <row r="130" spans="2:24" ht="15.95" customHeight="1" x14ac:dyDescent="0.25">
      <c r="B130" s="35" t="s">
        <v>31</v>
      </c>
      <c r="C130" s="87"/>
      <c r="D130" s="40"/>
      <c r="E130" s="40"/>
      <c r="F130" s="40"/>
      <c r="G130" s="40"/>
      <c r="H130" s="40"/>
      <c r="I130" s="40"/>
      <c r="J130" s="40"/>
      <c r="K130" s="40">
        <v>78</v>
      </c>
      <c r="L130" s="38"/>
      <c r="M130" s="84">
        <f>PI()*K130^2/4/4046.8564224</f>
        <v>1.1807590700922996</v>
      </c>
      <c r="N130" s="37" t="s">
        <v>1</v>
      </c>
      <c r="O130" s="38" t="s">
        <v>23</v>
      </c>
      <c r="P130" s="36">
        <f t="shared" ref="P130:P137" si="18">IF(O130="PLUS",1,IF(O130="MINUS",-1,0))</f>
        <v>0</v>
      </c>
      <c r="Q130" s="39">
        <v>34</v>
      </c>
      <c r="R130" s="35">
        <f>M130*4046.8564224*1000000</f>
        <v>4778362426.110075</v>
      </c>
      <c r="S130" s="72">
        <f t="shared" ref="S130:S137" si="19">P130*Q130*R130</f>
        <v>0</v>
      </c>
      <c r="T130" s="40">
        <v>4778362426</v>
      </c>
      <c r="U130" s="38">
        <f t="shared" ref="U130:U137" si="20">P130*Q130*T130</f>
        <v>0</v>
      </c>
      <c r="V130" s="39" t="s">
        <v>5</v>
      </c>
      <c r="W130" s="12"/>
      <c r="X130" s="12"/>
    </row>
    <row r="131" spans="2:24" ht="15.95" customHeight="1" x14ac:dyDescent="0.25">
      <c r="B131" s="35" t="s">
        <v>30</v>
      </c>
      <c r="C131" s="87">
        <v>10</v>
      </c>
      <c r="D131" s="40">
        <v>9</v>
      </c>
      <c r="E131" s="40">
        <v>13</v>
      </c>
      <c r="F131" s="40">
        <v>9</v>
      </c>
      <c r="G131" s="40"/>
      <c r="H131" s="40"/>
      <c r="I131" s="40"/>
      <c r="J131" s="40"/>
      <c r="K131" s="40"/>
      <c r="L131" s="38">
        <v>16</v>
      </c>
      <c r="M131" s="84">
        <f>(SQRT(((C131+F131+L131)/2*(((C131+F131+L131)/2-C131)*(((C131+F131+L131)/2-F131)*(((C131+F131+L131))/2-L131)))))+SQRT(((D131+E131+L131)/2*(((D131+E131+L131)/2-D131)*(((D131+E131+L131)/2-E131)*(((D131+E131+L131))/2-L131))))))*10000</f>
        <v>993884.36498737719</v>
      </c>
      <c r="N131" s="37" t="s">
        <v>17</v>
      </c>
      <c r="O131" s="38" t="s">
        <v>21</v>
      </c>
      <c r="P131" s="36">
        <f t="shared" si="18"/>
        <v>-1</v>
      </c>
      <c r="Q131" s="39">
        <v>2</v>
      </c>
      <c r="R131" s="35">
        <f>M131*100</f>
        <v>99388436.498737723</v>
      </c>
      <c r="S131" s="72">
        <f t="shared" si="19"/>
        <v>-198776872.99747545</v>
      </c>
      <c r="T131" s="40">
        <v>99388436</v>
      </c>
      <c r="U131" s="38">
        <f t="shared" si="20"/>
        <v>-198776872</v>
      </c>
      <c r="V131" s="39" t="s">
        <v>5</v>
      </c>
      <c r="W131" s="12"/>
      <c r="X131" s="12"/>
    </row>
    <row r="132" spans="2:24" ht="15.95" customHeight="1" x14ac:dyDescent="0.25">
      <c r="B132" s="35" t="s">
        <v>33</v>
      </c>
      <c r="C132" s="87"/>
      <c r="D132" s="40"/>
      <c r="E132" s="40"/>
      <c r="F132" s="40"/>
      <c r="G132" s="40"/>
      <c r="H132" s="40"/>
      <c r="I132" s="40">
        <v>9</v>
      </c>
      <c r="J132" s="40">
        <v>69</v>
      </c>
      <c r="K132" s="40"/>
      <c r="L132" s="38"/>
      <c r="M132" s="84">
        <f>(J132*PI()/180)*I132^2/2*100</f>
        <v>4877.3225946981529</v>
      </c>
      <c r="N132" s="37" t="s">
        <v>18</v>
      </c>
      <c r="O132" s="38" t="s">
        <v>22</v>
      </c>
      <c r="P132" s="36">
        <f t="shared" si="18"/>
        <v>1</v>
      </c>
      <c r="Q132" s="39">
        <v>8</v>
      </c>
      <c r="R132" s="35">
        <f>M132/100*1000000</f>
        <v>48773225.946981527</v>
      </c>
      <c r="S132" s="72">
        <f t="shared" si="19"/>
        <v>390185807.57585222</v>
      </c>
      <c r="T132" s="40">
        <v>48773226</v>
      </c>
      <c r="U132" s="38">
        <f t="shared" si="20"/>
        <v>390185808</v>
      </c>
      <c r="V132" s="39" t="s">
        <v>5</v>
      </c>
      <c r="W132" s="12"/>
      <c r="X132" s="12"/>
    </row>
    <row r="133" spans="2:24" ht="15.95" customHeight="1" x14ac:dyDescent="0.25">
      <c r="B133" s="35" t="s">
        <v>35</v>
      </c>
      <c r="C133" s="87">
        <v>89</v>
      </c>
      <c r="D133" s="40">
        <v>74</v>
      </c>
      <c r="E133" s="40">
        <v>56</v>
      </c>
      <c r="F133" s="40"/>
      <c r="G133" s="40"/>
      <c r="H133" s="40"/>
      <c r="I133" s="40"/>
      <c r="J133" s="40"/>
      <c r="K133" s="40"/>
      <c r="L133" s="38"/>
      <c r="M133" s="84">
        <f>SQRT(((C133+D133+E133)/2*(((C133+D133+E133)/2-C133)*(((C133+D133+E133)/2-D133)*(((C133+D133+E133))/2-E133)))))/10000</f>
        <v>0.20647860512653607</v>
      </c>
      <c r="N133" s="37" t="s">
        <v>4</v>
      </c>
      <c r="O133" s="38" t="s">
        <v>23</v>
      </c>
      <c r="P133" s="36">
        <f t="shared" si="18"/>
        <v>0</v>
      </c>
      <c r="Q133" s="39">
        <v>10</v>
      </c>
      <c r="R133" s="35">
        <f>M133*1000000*10000</f>
        <v>2064786051.2653608</v>
      </c>
      <c r="S133" s="72">
        <f t="shared" si="19"/>
        <v>0</v>
      </c>
      <c r="T133" s="40">
        <v>2064786051</v>
      </c>
      <c r="U133" s="38">
        <f t="shared" si="20"/>
        <v>0</v>
      </c>
      <c r="V133" s="39" t="s">
        <v>5</v>
      </c>
      <c r="W133" s="12"/>
      <c r="X133" s="12"/>
    </row>
    <row r="134" spans="2:24" ht="15.95" customHeight="1" x14ac:dyDescent="0.25">
      <c r="B134" s="35" t="s">
        <v>32</v>
      </c>
      <c r="C134" s="87"/>
      <c r="D134" s="40"/>
      <c r="E134" s="40"/>
      <c r="F134" s="40"/>
      <c r="G134" s="40">
        <v>9</v>
      </c>
      <c r="H134" s="40">
        <v>56</v>
      </c>
      <c r="I134" s="40">
        <f>(H134*H134)/(8*G134)+G134/2</f>
        <v>48.055555555555557</v>
      </c>
      <c r="J134" s="40">
        <f>2*ASIN(H134/(2*I134))</f>
        <v>1.2439931224221636</v>
      </c>
      <c r="K134" s="40"/>
      <c r="L134" s="38"/>
      <c r="M134" s="84">
        <f>((I134*I134)/2)*(J134-SIN(J134))</f>
        <v>342.84375621037566</v>
      </c>
      <c r="N134" s="37" t="s">
        <v>16</v>
      </c>
      <c r="O134" s="38" t="s">
        <v>22</v>
      </c>
      <c r="P134" s="36">
        <f t="shared" si="18"/>
        <v>1</v>
      </c>
      <c r="Q134" s="39">
        <v>16</v>
      </c>
      <c r="R134" s="35">
        <f>M134*1000000</f>
        <v>342843756.21037567</v>
      </c>
      <c r="S134" s="72">
        <f t="shared" si="19"/>
        <v>5485500099.3660107</v>
      </c>
      <c r="T134" s="40">
        <v>342843756</v>
      </c>
      <c r="U134" s="38">
        <f t="shared" si="20"/>
        <v>5485500096</v>
      </c>
      <c r="V134" s="39" t="s">
        <v>5</v>
      </c>
      <c r="W134" s="12"/>
      <c r="X134" s="12"/>
    </row>
    <row r="135" spans="2:24" ht="15.95" customHeight="1" x14ac:dyDescent="0.25">
      <c r="B135" s="35" t="s">
        <v>29</v>
      </c>
      <c r="C135" s="87">
        <v>48</v>
      </c>
      <c r="D135" s="40"/>
      <c r="E135" s="40"/>
      <c r="F135" s="40"/>
      <c r="G135" s="40"/>
      <c r="H135" s="40"/>
      <c r="I135" s="40"/>
      <c r="J135" s="40"/>
      <c r="K135" s="40"/>
      <c r="L135" s="38"/>
      <c r="M135" s="84">
        <f>C135^2*1000000</f>
        <v>2304000000</v>
      </c>
      <c r="N135" s="37" t="s">
        <v>19</v>
      </c>
      <c r="O135" s="38" t="s">
        <v>21</v>
      </c>
      <c r="P135" s="36">
        <f t="shared" si="18"/>
        <v>-1</v>
      </c>
      <c r="Q135" s="39">
        <v>25</v>
      </c>
      <c r="R135" s="35">
        <f>M135</f>
        <v>2304000000</v>
      </c>
      <c r="S135" s="72">
        <f t="shared" si="19"/>
        <v>-57600000000</v>
      </c>
      <c r="T135" s="40">
        <v>2304000000</v>
      </c>
      <c r="U135" s="38">
        <f t="shared" si="20"/>
        <v>-57600000000</v>
      </c>
      <c r="V135" s="39" t="s">
        <v>5</v>
      </c>
      <c r="W135" s="12"/>
      <c r="X135" s="12"/>
    </row>
    <row r="136" spans="2:24" ht="15.95" customHeight="1" x14ac:dyDescent="0.25">
      <c r="B136" s="35" t="s">
        <v>45</v>
      </c>
      <c r="C136" s="87"/>
      <c r="D136" s="40"/>
      <c r="E136" s="40"/>
      <c r="F136" s="40"/>
      <c r="G136" s="40"/>
      <c r="H136" s="40"/>
      <c r="I136" s="40"/>
      <c r="J136" s="40"/>
      <c r="K136" s="40">
        <v>156</v>
      </c>
      <c r="L136" s="38"/>
      <c r="M136" s="84">
        <f>PI()*K136^2/4/144*10000/(2.54*2.54)</f>
        <v>205735.46037288228</v>
      </c>
      <c r="N136" s="37" t="s">
        <v>6</v>
      </c>
      <c r="O136" s="38" t="s">
        <v>23</v>
      </c>
      <c r="P136" s="36">
        <f t="shared" si="18"/>
        <v>0</v>
      </c>
      <c r="Q136" s="39">
        <v>72</v>
      </c>
      <c r="R136" s="35">
        <f>M136*144/10000*(2.54*2.54)*1000000</f>
        <v>19113449704.440296</v>
      </c>
      <c r="S136" s="72">
        <f t="shared" si="19"/>
        <v>0</v>
      </c>
      <c r="T136" s="40">
        <v>19113449704</v>
      </c>
      <c r="U136" s="38">
        <f t="shared" si="20"/>
        <v>0</v>
      </c>
      <c r="V136" s="39" t="s">
        <v>5</v>
      </c>
      <c r="W136" s="12"/>
      <c r="X136" s="12"/>
    </row>
    <row r="137" spans="2:24" ht="15.95" customHeight="1" thickBot="1" x14ac:dyDescent="0.3">
      <c r="B137" s="76" t="s">
        <v>29</v>
      </c>
      <c r="C137" s="88">
        <v>49</v>
      </c>
      <c r="D137" s="8"/>
      <c r="E137" s="8"/>
      <c r="F137" s="8"/>
      <c r="G137" s="8"/>
      <c r="H137" s="8"/>
      <c r="I137" s="8"/>
      <c r="J137" s="8"/>
      <c r="K137" s="8"/>
      <c r="L137" s="77"/>
      <c r="M137" s="85">
        <f>C137^2*10000/(2.54*2.54)</f>
        <v>3721557.4431148861</v>
      </c>
      <c r="N137" s="9" t="s">
        <v>20</v>
      </c>
      <c r="O137" s="77" t="s">
        <v>22</v>
      </c>
      <c r="P137" s="2">
        <f t="shared" si="18"/>
        <v>1</v>
      </c>
      <c r="Q137" s="41">
        <v>26</v>
      </c>
      <c r="R137" s="76">
        <f>M137/10000*(2.54*2.54)*1000000</f>
        <v>2401000000</v>
      </c>
      <c r="S137" s="68">
        <f t="shared" si="19"/>
        <v>62426000000</v>
      </c>
      <c r="T137" s="8">
        <v>2401000000</v>
      </c>
      <c r="U137" s="77">
        <f t="shared" si="20"/>
        <v>62426000000</v>
      </c>
      <c r="V137" s="155" t="s">
        <v>5</v>
      </c>
      <c r="W137" s="12"/>
      <c r="X137" s="12"/>
    </row>
    <row r="138" spans="2:24" ht="15" customHeight="1" thickTop="1" thickBot="1" x14ac:dyDescent="0.3">
      <c r="B138" s="419"/>
      <c r="C138" s="420"/>
      <c r="D138" s="420"/>
      <c r="E138" s="420"/>
      <c r="F138" s="420"/>
      <c r="G138" s="420"/>
      <c r="H138" s="420"/>
      <c r="I138" s="420"/>
      <c r="J138" s="420"/>
      <c r="K138" s="420"/>
      <c r="L138" s="421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12"/>
      <c r="X138" s="12"/>
    </row>
    <row r="139" spans="2:24" ht="15" customHeight="1" thickTop="1" thickBot="1" x14ac:dyDescent="0.3"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6"/>
      <c r="M139" s="918" t="s">
        <v>15</v>
      </c>
      <c r="N139" s="919"/>
      <c r="O139" s="919"/>
      <c r="P139" s="919"/>
      <c r="Q139" s="920"/>
      <c r="R139" s="10">
        <f>SUM(S129:S137)</f>
        <v>10797778225.590851</v>
      </c>
      <c r="S139" s="42">
        <f>SUM(S129:S137)</f>
        <v>10797778225.590851</v>
      </c>
      <c r="T139" s="42">
        <f>SUM(U129:U137)</f>
        <v>10797778222</v>
      </c>
      <c r="U139" s="11">
        <f>SUM(U129:U137)</f>
        <v>10797778222</v>
      </c>
      <c r="V139" s="42" t="s">
        <v>5</v>
      </c>
      <c r="W139" s="12"/>
      <c r="X139" s="12"/>
    </row>
    <row r="140" spans="2:24" ht="15" customHeight="1" thickBot="1" x14ac:dyDescent="0.3">
      <c r="B140" s="76"/>
      <c r="C140" s="77"/>
      <c r="D140" s="77"/>
      <c r="E140" s="77"/>
      <c r="F140" s="77"/>
      <c r="G140" s="77"/>
      <c r="H140" s="77"/>
      <c r="I140" s="77"/>
      <c r="J140" s="77"/>
      <c r="K140" s="77"/>
      <c r="L140" s="9"/>
      <c r="M140" s="957" t="s">
        <v>26</v>
      </c>
      <c r="N140" s="958"/>
      <c r="O140" s="958"/>
      <c r="P140" s="958"/>
      <c r="Q140" s="959"/>
      <c r="R140" s="751">
        <f xml:space="preserve"> (R139-T139)/R139</f>
        <v>3.3255460105373993E-10</v>
      </c>
      <c r="S140" s="77"/>
      <c r="T140" s="77"/>
      <c r="U140" s="77"/>
      <c r="V140" s="9"/>
      <c r="W140" s="12"/>
      <c r="X140" s="12"/>
    </row>
    <row r="141" spans="2:24" ht="15" customHeight="1" thickTop="1" x14ac:dyDescent="0.25">
      <c r="W141" s="12"/>
      <c r="X141" s="12"/>
    </row>
    <row r="142" spans="2:24" ht="15" customHeight="1" x14ac:dyDescent="0.25">
      <c r="W142" s="12"/>
      <c r="X142" s="12"/>
    </row>
    <row r="143" spans="2:24" ht="15" customHeight="1" x14ac:dyDescent="0.25">
      <c r="W143" s="14"/>
      <c r="X143" s="14"/>
    </row>
    <row r="144" spans="2:24" ht="15" customHeight="1" x14ac:dyDescent="0.25">
      <c r="W144" s="12"/>
      <c r="X144" s="12"/>
    </row>
    <row r="145" spans="2:24" ht="15" customHeight="1" x14ac:dyDescent="0.25">
      <c r="K145" s="13"/>
      <c r="L145" s="14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2"/>
      <c r="X145" s="12"/>
    </row>
    <row r="146" spans="2:24" ht="15" customHeight="1" thickBot="1" x14ac:dyDescent="0.3">
      <c r="K146" s="13"/>
      <c r="L146" s="14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2"/>
      <c r="X146" s="12"/>
    </row>
    <row r="147" spans="2:24" s="716" customFormat="1" ht="20.100000000000001" customHeight="1" thickTop="1" thickBot="1" x14ac:dyDescent="0.3">
      <c r="B147" s="639" t="s">
        <v>27</v>
      </c>
      <c r="C147" s="982" t="s">
        <v>28</v>
      </c>
      <c r="D147" s="983"/>
      <c r="E147" s="983"/>
      <c r="F147" s="983"/>
      <c r="G147" s="983"/>
      <c r="H147" s="983"/>
      <c r="I147" s="983"/>
      <c r="J147" s="983"/>
      <c r="K147" s="983"/>
      <c r="L147" s="984"/>
      <c r="M147" s="938" t="s">
        <v>13</v>
      </c>
      <c r="N147" s="939"/>
      <c r="O147" s="717"/>
      <c r="P147" s="717"/>
      <c r="Q147" s="717"/>
      <c r="R147" s="938" t="s">
        <v>14</v>
      </c>
      <c r="S147" s="981"/>
      <c r="T147" s="981"/>
      <c r="U147" s="981"/>
      <c r="V147" s="939"/>
      <c r="W147" s="715"/>
      <c r="X147" s="715"/>
    </row>
    <row r="148" spans="2:24" s="714" customFormat="1" ht="17.100000000000001" customHeight="1" thickBot="1" x14ac:dyDescent="0.3">
      <c r="B148" s="642"/>
      <c r="C148" s="738" t="s">
        <v>40</v>
      </c>
      <c r="D148" s="739" t="s">
        <v>39</v>
      </c>
      <c r="E148" s="739" t="s">
        <v>38</v>
      </c>
      <c r="F148" s="739" t="s">
        <v>37</v>
      </c>
      <c r="G148" s="739" t="s">
        <v>41</v>
      </c>
      <c r="H148" s="739" t="s">
        <v>42</v>
      </c>
      <c r="I148" s="739" t="s">
        <v>43</v>
      </c>
      <c r="J148" s="739" t="s">
        <v>44</v>
      </c>
      <c r="K148" s="739" t="s">
        <v>36</v>
      </c>
      <c r="L148" s="641" t="s">
        <v>46</v>
      </c>
      <c r="M148" s="640" t="s">
        <v>24</v>
      </c>
      <c r="N148" s="740" t="s">
        <v>12</v>
      </c>
      <c r="O148" s="641" t="s">
        <v>9</v>
      </c>
      <c r="P148" s="741"/>
      <c r="Q148" s="643" t="s">
        <v>10</v>
      </c>
      <c r="R148" s="640" t="s">
        <v>11</v>
      </c>
      <c r="S148" s="742"/>
      <c r="T148" s="739" t="s">
        <v>25</v>
      </c>
      <c r="U148" s="641"/>
      <c r="V148" s="643" t="s">
        <v>12</v>
      </c>
      <c r="W148" s="713"/>
      <c r="X148" s="713"/>
    </row>
    <row r="149" spans="2:24" ht="15.95" customHeight="1" x14ac:dyDescent="0.25">
      <c r="B149" s="43" t="s">
        <v>29</v>
      </c>
      <c r="C149" s="89">
        <v>39</v>
      </c>
      <c r="D149" s="48"/>
      <c r="E149" s="48"/>
      <c r="F149" s="48"/>
      <c r="G149" s="48"/>
      <c r="H149" s="48"/>
      <c r="I149" s="48"/>
      <c r="J149" s="48"/>
      <c r="K149" s="48"/>
      <c r="L149" s="46"/>
      <c r="M149" s="80">
        <f>C149^2/100</f>
        <v>15.21</v>
      </c>
      <c r="N149" s="45" t="s">
        <v>0</v>
      </c>
      <c r="O149" s="46" t="s">
        <v>21</v>
      </c>
      <c r="P149" s="44">
        <f>IF(O149="PLUS",1,IF(O149="MINUS",-1,0))</f>
        <v>-1</v>
      </c>
      <c r="Q149" s="47">
        <v>33</v>
      </c>
      <c r="R149" s="43">
        <f>M149/144*10000/(2.54*2.54)*100</f>
        <v>16371.907743815487</v>
      </c>
      <c r="S149" s="157">
        <f>P149*Q149*R149</f>
        <v>-540272.9555459111</v>
      </c>
      <c r="T149" s="48">
        <v>16371.9</v>
      </c>
      <c r="U149" s="46">
        <f>P149*Q149*T149</f>
        <v>-540272.69999999995</v>
      </c>
      <c r="V149" s="47" t="s">
        <v>6</v>
      </c>
      <c r="W149" s="12"/>
      <c r="X149" s="12"/>
    </row>
    <row r="150" spans="2:24" ht="15.95" customHeight="1" x14ac:dyDescent="0.25">
      <c r="B150" s="49" t="s">
        <v>31</v>
      </c>
      <c r="C150" s="90"/>
      <c r="D150" s="54"/>
      <c r="E150" s="54"/>
      <c r="F150" s="54"/>
      <c r="G150" s="54"/>
      <c r="H150" s="54"/>
      <c r="I150" s="54"/>
      <c r="J150" s="54"/>
      <c r="K150" s="54">
        <v>50</v>
      </c>
      <c r="L150" s="52"/>
      <c r="M150" s="81">
        <f>PI()*K150^2/4/4046.8564224</f>
        <v>0.48519028192484376</v>
      </c>
      <c r="N150" s="51" t="s">
        <v>1</v>
      </c>
      <c r="O150" s="52" t="s">
        <v>22</v>
      </c>
      <c r="P150" s="50">
        <f t="shared" ref="P150:P157" si="21">IF(O150="PLUS",1,IF(O150="MINUS",-1,0))</f>
        <v>1</v>
      </c>
      <c r="Q150" s="53">
        <v>77</v>
      </c>
      <c r="R150" s="49">
        <f>M150*4046.8564224/144*10000/(2.54*2.54)</f>
        <v>21134.888680646196</v>
      </c>
      <c r="S150" s="73">
        <f t="shared" ref="S150:S157" si="22">P150*Q150*R150</f>
        <v>1627386.4284097571</v>
      </c>
      <c r="T150" s="54">
        <v>21134.9</v>
      </c>
      <c r="U150" s="52">
        <f t="shared" ref="U150:U157" si="23">P150*Q150*T150</f>
        <v>1627387.3</v>
      </c>
      <c r="V150" s="53" t="s">
        <v>6</v>
      </c>
      <c r="W150" s="12"/>
      <c r="X150" s="12"/>
    </row>
    <row r="151" spans="2:24" ht="15.95" customHeight="1" x14ac:dyDescent="0.25">
      <c r="B151" s="49" t="s">
        <v>34</v>
      </c>
      <c r="C151" s="90">
        <v>45</v>
      </c>
      <c r="D151" s="54">
        <v>3</v>
      </c>
      <c r="E151" s="54"/>
      <c r="F151" s="54"/>
      <c r="G151" s="54"/>
      <c r="H151" s="54"/>
      <c r="I151" s="54"/>
      <c r="J151" s="54"/>
      <c r="K151" s="54"/>
      <c r="L151" s="52"/>
      <c r="M151" s="81">
        <f>C151*D151*10000</f>
        <v>1350000</v>
      </c>
      <c r="N151" s="51" t="s">
        <v>17</v>
      </c>
      <c r="O151" s="52" t="s">
        <v>23</v>
      </c>
      <c r="P151" s="50">
        <f t="shared" si="21"/>
        <v>0</v>
      </c>
      <c r="Q151" s="53">
        <v>26</v>
      </c>
      <c r="R151" s="49">
        <f>M151/144*10000/(2.54*2.54)/10000</f>
        <v>1453.1279062558126</v>
      </c>
      <c r="S151" s="73">
        <f t="shared" si="22"/>
        <v>0</v>
      </c>
      <c r="T151" s="54">
        <v>1453.13</v>
      </c>
      <c r="U151" s="52">
        <f t="shared" si="23"/>
        <v>0</v>
      </c>
      <c r="V151" s="53" t="s">
        <v>6</v>
      </c>
      <c r="W151" s="12"/>
      <c r="X151" s="12"/>
    </row>
    <row r="152" spans="2:24" ht="15.95" customHeight="1" x14ac:dyDescent="0.25">
      <c r="B152" s="49" t="s">
        <v>31</v>
      </c>
      <c r="C152" s="90"/>
      <c r="D152" s="54"/>
      <c r="E152" s="54"/>
      <c r="F152" s="54"/>
      <c r="G152" s="54"/>
      <c r="H152" s="54"/>
      <c r="I152" s="54"/>
      <c r="J152" s="54"/>
      <c r="K152" s="54">
        <v>67</v>
      </c>
      <c r="L152" s="52"/>
      <c r="M152" s="81">
        <f>PI()*K152^2/4*100</f>
        <v>352565.23554911453</v>
      </c>
      <c r="N152" s="51" t="s">
        <v>18</v>
      </c>
      <c r="O152" s="52" t="s">
        <v>21</v>
      </c>
      <c r="P152" s="50">
        <f t="shared" si="21"/>
        <v>-1</v>
      </c>
      <c r="Q152" s="53">
        <v>35</v>
      </c>
      <c r="R152" s="49">
        <f>M152/100/144*10000/(2.54*2.54)</f>
        <v>37949.806114968313</v>
      </c>
      <c r="S152" s="73">
        <f t="shared" si="22"/>
        <v>-1328243.2140238909</v>
      </c>
      <c r="T152" s="54">
        <v>37949.800000000003</v>
      </c>
      <c r="U152" s="52">
        <f t="shared" si="23"/>
        <v>-1328243</v>
      </c>
      <c r="V152" s="53" t="s">
        <v>6</v>
      </c>
      <c r="W152" s="12"/>
      <c r="X152" s="12"/>
    </row>
    <row r="153" spans="2:24" ht="15.95" customHeight="1" x14ac:dyDescent="0.25">
      <c r="B153" s="49" t="s">
        <v>30</v>
      </c>
      <c r="C153" s="90">
        <v>8</v>
      </c>
      <c r="D153" s="54">
        <v>5</v>
      </c>
      <c r="E153" s="54">
        <v>9</v>
      </c>
      <c r="F153" s="54">
        <v>7</v>
      </c>
      <c r="G153" s="54"/>
      <c r="H153" s="54"/>
      <c r="I153" s="54"/>
      <c r="J153" s="54"/>
      <c r="K153" s="54"/>
      <c r="L153" s="52">
        <v>11</v>
      </c>
      <c r="M153" s="81">
        <f>(SQRT(((C153+F153+L153)/2*(((C153+F153+L153)/2-C153)*(((C153+F153+L153)/2-F153)*(((C153+F153+L153))/2-L153)))))+SQRT(((D153+E153+L153)/2*(((D153+E153+L153)/2-D153)*(((D153+E153+L153)/2-E153)*(((D153+E153+L153))/2-L153))))))/10000</f>
        <v>5.0113779274161448E-3</v>
      </c>
      <c r="N153" s="51" t="s">
        <v>4</v>
      </c>
      <c r="O153" s="52" t="s">
        <v>22</v>
      </c>
      <c r="P153" s="50">
        <f t="shared" si="21"/>
        <v>1</v>
      </c>
      <c r="Q153" s="53">
        <v>88</v>
      </c>
      <c r="R153" s="49">
        <f>M153*10000/144*10000/(2.54*2.54)</f>
        <v>539.42023074983808</v>
      </c>
      <c r="S153" s="73">
        <f t="shared" si="22"/>
        <v>47468.980305985751</v>
      </c>
      <c r="T153" s="54">
        <v>539.41999999999996</v>
      </c>
      <c r="U153" s="52">
        <f t="shared" si="23"/>
        <v>47468.959999999999</v>
      </c>
      <c r="V153" s="53" t="s">
        <v>6</v>
      </c>
      <c r="W153" s="12"/>
      <c r="X153" s="12"/>
    </row>
    <row r="154" spans="2:24" ht="15.95" customHeight="1" x14ac:dyDescent="0.25">
      <c r="B154" s="49" t="s">
        <v>32</v>
      </c>
      <c r="C154" s="90"/>
      <c r="D154" s="54"/>
      <c r="E154" s="54"/>
      <c r="F154" s="54"/>
      <c r="G154" s="54">
        <v>7</v>
      </c>
      <c r="H154" s="54">
        <v>45</v>
      </c>
      <c r="I154" s="54">
        <f>(H154*H154)/(8*G154)+G154/2</f>
        <v>39.660714285714285</v>
      </c>
      <c r="J154" s="54">
        <f>2*ASIN(H154/(2*I154))</f>
        <v>1.2064761850649586</v>
      </c>
      <c r="K154" s="54"/>
      <c r="L154" s="52"/>
      <c r="M154" s="81">
        <f>((I154*I154)/2)*(J154-SIN(J154))</f>
        <v>214.01071288456879</v>
      </c>
      <c r="N154" s="51" t="s">
        <v>16</v>
      </c>
      <c r="O154" s="52" t="s">
        <v>21</v>
      </c>
      <c r="P154" s="50">
        <f t="shared" si="21"/>
        <v>-1</v>
      </c>
      <c r="Q154" s="53">
        <v>3</v>
      </c>
      <c r="R154" s="49">
        <f>M154/144*10000/(2.54*2.54)</f>
        <v>2303.5921417056838</v>
      </c>
      <c r="S154" s="73">
        <f t="shared" si="22"/>
        <v>-6910.776425117052</v>
      </c>
      <c r="T154" s="54">
        <v>2303.59</v>
      </c>
      <c r="U154" s="52">
        <f t="shared" si="23"/>
        <v>-6910.77</v>
      </c>
      <c r="V154" s="53" t="s">
        <v>6</v>
      </c>
      <c r="W154" s="12"/>
      <c r="X154" s="12"/>
    </row>
    <row r="155" spans="2:24" ht="15.95" customHeight="1" x14ac:dyDescent="0.25">
      <c r="B155" s="49" t="s">
        <v>32</v>
      </c>
      <c r="C155" s="90"/>
      <c r="D155" s="54"/>
      <c r="E155" s="54"/>
      <c r="F155" s="54"/>
      <c r="G155" s="54">
        <v>3</v>
      </c>
      <c r="H155" s="54">
        <v>99</v>
      </c>
      <c r="I155" s="54">
        <f>(H155*H155)/(8*G155)+G155/2</f>
        <v>409.875</v>
      </c>
      <c r="J155" s="54">
        <f>2*ASIN(H155/(2*I155))</f>
        <v>0.24212807912842851</v>
      </c>
      <c r="K155" s="54"/>
      <c r="L155" s="52"/>
      <c r="M155" s="81">
        <f>((I155*I155)/2)*(J155-SIN(J155))</f>
        <v>198.14537831470474</v>
      </c>
      <c r="N155" s="51" t="s">
        <v>19</v>
      </c>
      <c r="O155" s="52" t="s">
        <v>22</v>
      </c>
      <c r="P155" s="50">
        <f t="shared" si="21"/>
        <v>1</v>
      </c>
      <c r="Q155" s="53">
        <v>26</v>
      </c>
      <c r="R155" s="49">
        <f>M155/144*10000/(2.54*2.54)</f>
        <v>2132.8191016645392</v>
      </c>
      <c r="S155" s="73">
        <f t="shared" si="22"/>
        <v>55453.296643278016</v>
      </c>
      <c r="T155" s="54">
        <v>2132.8200000000002</v>
      </c>
      <c r="U155" s="52">
        <f t="shared" si="23"/>
        <v>55453.320000000007</v>
      </c>
      <c r="V155" s="53" t="s">
        <v>6</v>
      </c>
      <c r="W155" s="12"/>
      <c r="X155" s="12"/>
    </row>
    <row r="156" spans="2:24" ht="15.95" customHeight="1" x14ac:dyDescent="0.25">
      <c r="B156" s="49" t="s">
        <v>34</v>
      </c>
      <c r="C156" s="90">
        <v>34</v>
      </c>
      <c r="D156" s="54">
        <v>15</v>
      </c>
      <c r="E156" s="54"/>
      <c r="F156" s="54"/>
      <c r="G156" s="54"/>
      <c r="H156" s="54"/>
      <c r="I156" s="54"/>
      <c r="J156" s="54"/>
      <c r="K156" s="54"/>
      <c r="L156" s="52"/>
      <c r="M156" s="81">
        <f>C156*D156/144*10000/(2.54*2.54)</f>
        <v>5489.5943125219583</v>
      </c>
      <c r="N156" s="51" t="s">
        <v>6</v>
      </c>
      <c r="O156" s="52" t="s">
        <v>22</v>
      </c>
      <c r="P156" s="50">
        <f t="shared" si="21"/>
        <v>1</v>
      </c>
      <c r="Q156" s="53">
        <v>37</v>
      </c>
      <c r="R156" s="49">
        <f>M156</f>
        <v>5489.5943125219583</v>
      </c>
      <c r="S156" s="73">
        <f t="shared" si="22"/>
        <v>203114.98956331247</v>
      </c>
      <c r="T156" s="54">
        <v>5489.59</v>
      </c>
      <c r="U156" s="52">
        <f t="shared" si="23"/>
        <v>203114.83000000002</v>
      </c>
      <c r="V156" s="53" t="s">
        <v>6</v>
      </c>
      <c r="W156" s="12"/>
      <c r="X156" s="12"/>
    </row>
    <row r="157" spans="2:24" ht="15.95" customHeight="1" thickBot="1" x14ac:dyDescent="0.3">
      <c r="B157" s="74" t="s">
        <v>29</v>
      </c>
      <c r="C157" s="91">
        <v>89</v>
      </c>
      <c r="D157" s="58"/>
      <c r="E157" s="58"/>
      <c r="F157" s="58"/>
      <c r="G157" s="58"/>
      <c r="H157" s="58"/>
      <c r="I157" s="58"/>
      <c r="J157" s="58"/>
      <c r="K157" s="58"/>
      <c r="L157" s="75"/>
      <c r="M157" s="82">
        <f>C157^2*10000/(2.54*2.54)</f>
        <v>12277574.55514911</v>
      </c>
      <c r="N157" s="56" t="s">
        <v>20</v>
      </c>
      <c r="O157" s="75" t="s">
        <v>22</v>
      </c>
      <c r="P157" s="55">
        <f t="shared" si="21"/>
        <v>1</v>
      </c>
      <c r="Q157" s="57">
        <v>17</v>
      </c>
      <c r="R157" s="74">
        <f>M157/10000*(2.54*2.54)/144*10000/(2.54*2.54)</f>
        <v>85260.934410757705</v>
      </c>
      <c r="S157" s="69">
        <f t="shared" si="22"/>
        <v>1449435.8849828809</v>
      </c>
      <c r="T157" s="58">
        <v>85260.9</v>
      </c>
      <c r="U157" s="75">
        <f t="shared" si="23"/>
        <v>1449435.2999999998</v>
      </c>
      <c r="V157" s="70" t="s">
        <v>6</v>
      </c>
      <c r="W157" s="12"/>
      <c r="X157" s="12"/>
    </row>
    <row r="158" spans="2:24" ht="15" customHeight="1" thickTop="1" thickBot="1" x14ac:dyDescent="0.3">
      <c r="B158" s="416"/>
      <c r="C158" s="417"/>
      <c r="D158" s="417"/>
      <c r="E158" s="417"/>
      <c r="F158" s="417"/>
      <c r="G158" s="417"/>
      <c r="H158" s="417"/>
      <c r="I158" s="417"/>
      <c r="J158" s="417"/>
      <c r="K158" s="417"/>
      <c r="L158" s="418"/>
      <c r="M158" s="46"/>
      <c r="N158" s="46"/>
      <c r="O158" s="46"/>
      <c r="P158" s="46"/>
      <c r="Q158" s="46"/>
      <c r="R158" s="46"/>
      <c r="S158" s="46"/>
      <c r="T158" s="46"/>
      <c r="U158" s="46"/>
      <c r="V158" s="45"/>
      <c r="W158" s="12"/>
      <c r="X158" s="12"/>
    </row>
    <row r="159" spans="2:24" ht="15" customHeight="1" thickTop="1" thickBot="1" x14ac:dyDescent="0.3">
      <c r="B159" s="43"/>
      <c r="C159" s="46"/>
      <c r="D159" s="46"/>
      <c r="E159" s="46"/>
      <c r="F159" s="46"/>
      <c r="G159" s="46"/>
      <c r="H159" s="46"/>
      <c r="I159" s="46"/>
      <c r="J159" s="46"/>
      <c r="K159" s="46"/>
      <c r="L159" s="45"/>
      <c r="M159" s="912" t="s">
        <v>15</v>
      </c>
      <c r="N159" s="913"/>
      <c r="O159" s="913"/>
      <c r="P159" s="913"/>
      <c r="Q159" s="914"/>
      <c r="R159" s="59">
        <f>SUM(S149:S157)</f>
        <v>1507432.6339102951</v>
      </c>
      <c r="S159" s="61">
        <f>SUM(S149:S157)</f>
        <v>1507432.6339102951</v>
      </c>
      <c r="T159" s="61">
        <f>SUM(U149:U157)</f>
        <v>1507433.24</v>
      </c>
      <c r="U159" s="60">
        <f>SUM(U149:U158)</f>
        <v>1507433.24</v>
      </c>
      <c r="V159" s="61" t="s">
        <v>6</v>
      </c>
      <c r="W159" s="12"/>
      <c r="X159" s="12"/>
    </row>
    <row r="160" spans="2:24" ht="15" customHeight="1" thickBot="1" x14ac:dyDescent="0.3"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56"/>
      <c r="M160" s="915" t="s">
        <v>26</v>
      </c>
      <c r="N160" s="916"/>
      <c r="O160" s="916"/>
      <c r="P160" s="916"/>
      <c r="Q160" s="917"/>
      <c r="R160" s="752">
        <f xml:space="preserve"> (R159-T159)/R159</f>
        <v>-4.0206752279910513E-7</v>
      </c>
      <c r="S160" s="75"/>
      <c r="T160" s="75"/>
      <c r="U160" s="75"/>
      <c r="V160" s="56"/>
      <c r="W160" s="12"/>
      <c r="X160" s="12"/>
    </row>
    <row r="161" spans="2:24" ht="15" customHeight="1" thickTop="1" x14ac:dyDescent="0.25">
      <c r="K161" s="13"/>
      <c r="L161" s="14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2"/>
      <c r="X161" s="12"/>
    </row>
    <row r="162" spans="2:24" ht="15" customHeight="1" x14ac:dyDescent="0.25">
      <c r="K162" s="13"/>
      <c r="L162" s="14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2"/>
      <c r="X162" s="12"/>
    </row>
    <row r="163" spans="2:24" ht="15" customHeight="1" x14ac:dyDescent="0.25">
      <c r="K163" s="13"/>
      <c r="L163" s="14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2"/>
      <c r="X163" s="12"/>
    </row>
    <row r="164" spans="2:24" ht="15" customHeight="1" x14ac:dyDescent="0.25">
      <c r="K164" s="13"/>
      <c r="L164" s="14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2"/>
      <c r="X164" s="12"/>
    </row>
    <row r="165" spans="2:24" ht="15" customHeight="1" x14ac:dyDescent="0.25">
      <c r="K165" s="13"/>
      <c r="L165" s="14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2"/>
      <c r="X165" s="12"/>
    </row>
    <row r="166" spans="2:24" ht="15" customHeight="1" thickBot="1" x14ac:dyDescent="0.3">
      <c r="K166" s="13"/>
      <c r="L166" s="14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2"/>
      <c r="X166" s="12"/>
    </row>
    <row r="167" spans="2:24" s="716" customFormat="1" ht="20.100000000000001" customHeight="1" thickTop="1" thickBot="1" x14ac:dyDescent="0.3">
      <c r="B167" s="433" t="s">
        <v>27</v>
      </c>
      <c r="C167" s="965" t="s">
        <v>28</v>
      </c>
      <c r="D167" s="966"/>
      <c r="E167" s="966"/>
      <c r="F167" s="966"/>
      <c r="G167" s="966"/>
      <c r="H167" s="966"/>
      <c r="I167" s="966"/>
      <c r="J167" s="966"/>
      <c r="K167" s="966"/>
      <c r="L167" s="967"/>
      <c r="M167" s="936" t="s">
        <v>13</v>
      </c>
      <c r="N167" s="937"/>
      <c r="O167" s="432"/>
      <c r="P167" s="432"/>
      <c r="Q167" s="432"/>
      <c r="R167" s="936" t="s">
        <v>14</v>
      </c>
      <c r="S167" s="980"/>
      <c r="T167" s="980"/>
      <c r="U167" s="980"/>
      <c r="V167" s="937"/>
      <c r="W167" s="715"/>
      <c r="X167" s="715"/>
    </row>
    <row r="168" spans="2:24" s="714" customFormat="1" ht="17.100000000000001" customHeight="1" thickBot="1" x14ac:dyDescent="0.3">
      <c r="B168" s="315"/>
      <c r="C168" s="743" t="s">
        <v>40</v>
      </c>
      <c r="D168" s="744" t="s">
        <v>39</v>
      </c>
      <c r="E168" s="744" t="s">
        <v>38</v>
      </c>
      <c r="F168" s="744" t="s">
        <v>37</v>
      </c>
      <c r="G168" s="744" t="s">
        <v>41</v>
      </c>
      <c r="H168" s="744" t="s">
        <v>42</v>
      </c>
      <c r="I168" s="744" t="s">
        <v>43</v>
      </c>
      <c r="J168" s="744" t="s">
        <v>44</v>
      </c>
      <c r="K168" s="744" t="s">
        <v>36</v>
      </c>
      <c r="L168" s="314" t="s">
        <v>46</v>
      </c>
      <c r="M168" s="313" t="s">
        <v>24</v>
      </c>
      <c r="N168" s="745" t="s">
        <v>12</v>
      </c>
      <c r="O168" s="314" t="s">
        <v>9</v>
      </c>
      <c r="P168" s="746"/>
      <c r="Q168" s="316" t="s">
        <v>10</v>
      </c>
      <c r="R168" s="313" t="s">
        <v>11</v>
      </c>
      <c r="S168" s="747"/>
      <c r="T168" s="744" t="s">
        <v>25</v>
      </c>
      <c r="U168" s="314"/>
      <c r="V168" s="316" t="s">
        <v>12</v>
      </c>
      <c r="W168" s="713"/>
      <c r="X168" s="713"/>
    </row>
    <row r="169" spans="2:24" ht="15.95" customHeight="1" x14ac:dyDescent="0.25">
      <c r="B169" s="160" t="s">
        <v>29</v>
      </c>
      <c r="C169" s="161">
        <v>45</v>
      </c>
      <c r="D169" s="162"/>
      <c r="E169" s="162"/>
      <c r="F169" s="162"/>
      <c r="G169" s="162"/>
      <c r="H169" s="162"/>
      <c r="I169" s="162"/>
      <c r="J169" s="162"/>
      <c r="K169" s="162"/>
      <c r="L169" s="163"/>
      <c r="M169" s="164">
        <f>C169^2/100</f>
        <v>20.25</v>
      </c>
      <c r="N169" s="165" t="s">
        <v>0</v>
      </c>
      <c r="O169" s="163" t="s">
        <v>22</v>
      </c>
      <c r="P169" s="166">
        <f>IF(O169="PLUS",1,IF(O169="MINUS",-1,0))</f>
        <v>1</v>
      </c>
      <c r="Q169" s="167">
        <v>13</v>
      </c>
      <c r="R169" s="160">
        <f>M169*10000/(2.54*2.54)*100</f>
        <v>3138756.277512555</v>
      </c>
      <c r="S169" s="168">
        <f>P169*Q169*R169</f>
        <v>40803831.607663214</v>
      </c>
      <c r="T169" s="162">
        <v>3138756</v>
      </c>
      <c r="U169" s="163">
        <f>P169*Q169*T169</f>
        <v>40803828</v>
      </c>
      <c r="V169" s="167" t="s">
        <v>7</v>
      </c>
      <c r="W169" s="12"/>
      <c r="X169" s="12"/>
    </row>
    <row r="170" spans="2:24" ht="15.95" customHeight="1" x14ac:dyDescent="0.25">
      <c r="B170" s="169" t="s">
        <v>33</v>
      </c>
      <c r="C170" s="170"/>
      <c r="D170" s="171"/>
      <c r="E170" s="171"/>
      <c r="F170" s="171"/>
      <c r="G170" s="171"/>
      <c r="H170" s="171"/>
      <c r="I170" s="171">
        <v>38</v>
      </c>
      <c r="J170" s="171">
        <v>67</v>
      </c>
      <c r="K170" s="171"/>
      <c r="L170" s="172"/>
      <c r="M170" s="173">
        <f>(J170*PI()/180)*I170^2/2/4046.8564224</f>
        <v>0.2086275084251768</v>
      </c>
      <c r="N170" s="174" t="s">
        <v>1</v>
      </c>
      <c r="O170" s="172" t="s">
        <v>22</v>
      </c>
      <c r="P170" s="175">
        <f t="shared" ref="P170:P177" si="24">IF(O170="PLUS",1,IF(O170="MINUS",-1,0))</f>
        <v>1</v>
      </c>
      <c r="Q170" s="176">
        <v>14</v>
      </c>
      <c r="R170" s="169">
        <f>M170*4046.8564224*10000/(2.54*2.54)</f>
        <v>1308645.2544481009</v>
      </c>
      <c r="S170" s="177">
        <f t="shared" ref="S170:S177" si="25">P170*Q170*R170</f>
        <v>18321033.562273413</v>
      </c>
      <c r="T170" s="171">
        <v>1308645</v>
      </c>
      <c r="U170" s="172">
        <f t="shared" ref="U170:U177" si="26">P170*Q170*T170</f>
        <v>18321030</v>
      </c>
      <c r="V170" s="176" t="s">
        <v>7</v>
      </c>
      <c r="W170" s="12"/>
      <c r="X170" s="12"/>
    </row>
    <row r="171" spans="2:24" ht="15.95" customHeight="1" x14ac:dyDescent="0.25">
      <c r="B171" s="169" t="s">
        <v>31</v>
      </c>
      <c r="C171" s="170"/>
      <c r="D171" s="171"/>
      <c r="E171" s="171"/>
      <c r="F171" s="171"/>
      <c r="G171" s="171"/>
      <c r="H171" s="171"/>
      <c r="I171" s="171"/>
      <c r="J171" s="171"/>
      <c r="K171" s="171">
        <v>8</v>
      </c>
      <c r="L171" s="172"/>
      <c r="M171" s="173">
        <f>PI()*K171^2/4*10000</f>
        <v>502654.82457436691</v>
      </c>
      <c r="N171" s="174" t="s">
        <v>17</v>
      </c>
      <c r="O171" s="172" t="s">
        <v>21</v>
      </c>
      <c r="P171" s="175">
        <f t="shared" si="24"/>
        <v>-1</v>
      </c>
      <c r="Q171" s="176">
        <v>27</v>
      </c>
      <c r="R171" s="169">
        <f>M171/10000*10000/(2.54*2.54)</f>
        <v>77911.653632334142</v>
      </c>
      <c r="S171" s="177">
        <f t="shared" si="25"/>
        <v>-2103614.6480730218</v>
      </c>
      <c r="T171" s="171">
        <v>77911.7</v>
      </c>
      <c r="U171" s="172">
        <f t="shared" si="26"/>
        <v>-2103615.9</v>
      </c>
      <c r="V171" s="176" t="s">
        <v>7</v>
      </c>
      <c r="W171" s="12"/>
      <c r="X171" s="12"/>
    </row>
    <row r="172" spans="2:24" ht="15.95" customHeight="1" x14ac:dyDescent="0.25">
      <c r="B172" s="169" t="s">
        <v>30</v>
      </c>
      <c r="C172" s="170">
        <v>5</v>
      </c>
      <c r="D172" s="171">
        <v>12</v>
      </c>
      <c r="E172" s="171">
        <v>7</v>
      </c>
      <c r="F172" s="171">
        <v>9</v>
      </c>
      <c r="G172" s="171"/>
      <c r="H172" s="171"/>
      <c r="I172" s="171"/>
      <c r="J172" s="171"/>
      <c r="K172" s="171"/>
      <c r="L172" s="172">
        <v>11</v>
      </c>
      <c r="M172" s="173">
        <f>(SQRT(((C172+F172+L172)/2*(((C172+F172+L172)/2-C172)*(((C172+F172+L172)/2-F172)*(((C172+F172+L172))/2-L172)))))+SQRT(((D172+E172+L172)/2*(((D172+E172+L172)/2-D172)*(((D172+E172+L172)/2-E172)*(((D172+E172+L172))/2-L172))))))*100</f>
        <v>6013.2631108644109</v>
      </c>
      <c r="N172" s="174" t="s">
        <v>18</v>
      </c>
      <c r="O172" s="172" t="s">
        <v>21</v>
      </c>
      <c r="P172" s="175">
        <f t="shared" si="24"/>
        <v>-1</v>
      </c>
      <c r="Q172" s="176">
        <v>26</v>
      </c>
      <c r="R172" s="169">
        <f>M172/100*10000/(2.54*2.54)</f>
        <v>93205.764629927638</v>
      </c>
      <c r="S172" s="177">
        <f t="shared" si="25"/>
        <v>-2423349.8803781187</v>
      </c>
      <c r="T172" s="171">
        <v>93205.8</v>
      </c>
      <c r="U172" s="172">
        <f t="shared" si="26"/>
        <v>-2423350.8000000003</v>
      </c>
      <c r="V172" s="176" t="s">
        <v>7</v>
      </c>
      <c r="W172" s="12"/>
      <c r="X172" s="12"/>
    </row>
    <row r="173" spans="2:24" ht="15.95" customHeight="1" x14ac:dyDescent="0.25">
      <c r="B173" s="169" t="s">
        <v>31</v>
      </c>
      <c r="C173" s="170"/>
      <c r="D173" s="171"/>
      <c r="E173" s="171"/>
      <c r="F173" s="171"/>
      <c r="G173" s="171"/>
      <c r="H173" s="171"/>
      <c r="I173" s="171"/>
      <c r="J173" s="171"/>
      <c r="K173" s="171">
        <v>15</v>
      </c>
      <c r="L173" s="172"/>
      <c r="M173" s="173">
        <f>PI()*K173^2/4/10000</f>
        <v>1.7671458676442587E-2</v>
      </c>
      <c r="N173" s="174" t="s">
        <v>4</v>
      </c>
      <c r="O173" s="172" t="s">
        <v>23</v>
      </c>
      <c r="P173" s="175">
        <f t="shared" si="24"/>
        <v>0</v>
      </c>
      <c r="Q173" s="176">
        <v>90</v>
      </c>
      <c r="R173" s="169">
        <f>M173*10000*10000/(2.54*2.54)</f>
        <v>273908.15730117465</v>
      </c>
      <c r="S173" s="177">
        <f t="shared" si="25"/>
        <v>0</v>
      </c>
      <c r="T173" s="171">
        <v>273908</v>
      </c>
      <c r="U173" s="172">
        <f t="shared" si="26"/>
        <v>0</v>
      </c>
      <c r="V173" s="176" t="s">
        <v>7</v>
      </c>
      <c r="W173" s="12"/>
      <c r="X173" s="12"/>
    </row>
    <row r="174" spans="2:24" ht="15.95" customHeight="1" x14ac:dyDescent="0.25">
      <c r="B174" s="169" t="s">
        <v>32</v>
      </c>
      <c r="C174" s="170"/>
      <c r="D174" s="171"/>
      <c r="E174" s="171"/>
      <c r="F174" s="171"/>
      <c r="G174" s="171">
        <v>3</v>
      </c>
      <c r="H174" s="171">
        <v>23</v>
      </c>
      <c r="I174" s="171">
        <f>(H174*H174)/(8*G174)+G174/2</f>
        <v>23.541666666666668</v>
      </c>
      <c r="J174" s="171">
        <f>2*ASIN(H174/(2*I174))</f>
        <v>1.0207295624832735</v>
      </c>
      <c r="K174" s="171"/>
      <c r="L174" s="172"/>
      <c r="M174" s="173">
        <f>((I174*I174)/2)*(J174-SIN(J174))</f>
        <v>46.620134187259538</v>
      </c>
      <c r="N174" s="174" t="s">
        <v>16</v>
      </c>
      <c r="O174" s="172" t="s">
        <v>23</v>
      </c>
      <c r="P174" s="175">
        <f t="shared" si="24"/>
        <v>0</v>
      </c>
      <c r="Q174" s="176">
        <v>15</v>
      </c>
      <c r="R174" s="169">
        <f>M174*10000/(2.54*2.54)</f>
        <v>72261.35251295731</v>
      </c>
      <c r="S174" s="177">
        <f t="shared" si="25"/>
        <v>0</v>
      </c>
      <c r="T174" s="171">
        <v>72261.399999999994</v>
      </c>
      <c r="U174" s="172">
        <f t="shared" si="26"/>
        <v>0</v>
      </c>
      <c r="V174" s="176" t="s">
        <v>7</v>
      </c>
      <c r="W174" s="12"/>
      <c r="X174" s="12"/>
    </row>
    <row r="175" spans="2:24" ht="15.95" customHeight="1" x14ac:dyDescent="0.25">
      <c r="B175" s="169" t="s">
        <v>29</v>
      </c>
      <c r="C175" s="170">
        <v>62</v>
      </c>
      <c r="D175" s="171"/>
      <c r="E175" s="171"/>
      <c r="F175" s="171"/>
      <c r="G175" s="171"/>
      <c r="H175" s="171"/>
      <c r="I175" s="171"/>
      <c r="J175" s="171"/>
      <c r="K175" s="171"/>
      <c r="L175" s="172"/>
      <c r="M175" s="173">
        <f>C175^2*1000000</f>
        <v>3844000000</v>
      </c>
      <c r="N175" s="174" t="s">
        <v>19</v>
      </c>
      <c r="O175" s="172" t="s">
        <v>23</v>
      </c>
      <c r="P175" s="175">
        <f t="shared" si="24"/>
        <v>0</v>
      </c>
      <c r="Q175" s="176">
        <v>57</v>
      </c>
      <c r="R175" s="169">
        <f>M175*10000/(2.54*2.54)/1000000</f>
        <v>5958211.916423833</v>
      </c>
      <c r="S175" s="177">
        <f t="shared" si="25"/>
        <v>0</v>
      </c>
      <c r="T175" s="171">
        <v>5958212</v>
      </c>
      <c r="U175" s="172">
        <f t="shared" si="26"/>
        <v>0</v>
      </c>
      <c r="V175" s="176" t="s">
        <v>7</v>
      </c>
      <c r="W175" s="12"/>
      <c r="X175" s="12"/>
    </row>
    <row r="176" spans="2:24" ht="15.95" customHeight="1" x14ac:dyDescent="0.25">
      <c r="B176" s="169" t="s">
        <v>45</v>
      </c>
      <c r="C176" s="170"/>
      <c r="D176" s="171"/>
      <c r="E176" s="171"/>
      <c r="F176" s="171"/>
      <c r="G176" s="171"/>
      <c r="H176" s="171"/>
      <c r="I176" s="171"/>
      <c r="J176" s="171"/>
      <c r="K176" s="171">
        <v>78</v>
      </c>
      <c r="L176" s="172"/>
      <c r="M176" s="173">
        <f>PI()*K176^2/4/144*10000/(2.54*2.54)</f>
        <v>51433.865093220571</v>
      </c>
      <c r="N176" s="174" t="s">
        <v>6</v>
      </c>
      <c r="O176" s="172" t="s">
        <v>22</v>
      </c>
      <c r="P176" s="175">
        <f t="shared" si="24"/>
        <v>1</v>
      </c>
      <c r="Q176" s="176">
        <v>14</v>
      </c>
      <c r="R176" s="169">
        <f>M176*144/10000*(2.54*2.54)*10000/(2.54*2.54)</f>
        <v>7406476.5734237619</v>
      </c>
      <c r="S176" s="177">
        <f t="shared" si="25"/>
        <v>103690672.02793267</v>
      </c>
      <c r="T176" s="171">
        <v>7406477</v>
      </c>
      <c r="U176" s="172">
        <f t="shared" si="26"/>
        <v>103690678</v>
      </c>
      <c r="V176" s="176" t="s">
        <v>7</v>
      </c>
      <c r="W176" s="12"/>
      <c r="X176" s="12"/>
    </row>
    <row r="177" spans="2:24" ht="15.95" customHeight="1" thickBot="1" x14ac:dyDescent="0.3">
      <c r="B177" s="178" t="s">
        <v>29</v>
      </c>
      <c r="C177" s="179">
        <v>46</v>
      </c>
      <c r="D177" s="180"/>
      <c r="E177" s="180"/>
      <c r="F177" s="180"/>
      <c r="G177" s="180"/>
      <c r="H177" s="180"/>
      <c r="I177" s="180"/>
      <c r="J177" s="180"/>
      <c r="K177" s="180"/>
      <c r="L177" s="181"/>
      <c r="M177" s="182">
        <f>C177^2*10000/(2.54*2.54)</f>
        <v>3279806.5596131193</v>
      </c>
      <c r="N177" s="183" t="s">
        <v>20</v>
      </c>
      <c r="O177" s="181" t="s">
        <v>21</v>
      </c>
      <c r="P177" s="184">
        <f t="shared" si="24"/>
        <v>-1</v>
      </c>
      <c r="Q177" s="185">
        <v>6</v>
      </c>
      <c r="R177" s="178">
        <f>M177</f>
        <v>3279806.5596131193</v>
      </c>
      <c r="S177" s="186">
        <f t="shared" si="25"/>
        <v>-19678839.357678715</v>
      </c>
      <c r="T177" s="180">
        <v>3279807</v>
      </c>
      <c r="U177" s="181">
        <f t="shared" si="26"/>
        <v>-19678842</v>
      </c>
      <c r="V177" s="187" t="s">
        <v>7</v>
      </c>
      <c r="W177" s="12"/>
      <c r="X177" s="12"/>
    </row>
    <row r="178" spans="2:24" ht="15" customHeight="1" thickTop="1" thickBot="1" x14ac:dyDescent="0.3">
      <c r="B178" s="158"/>
      <c r="C178" s="159"/>
      <c r="D178" s="159"/>
      <c r="E178" s="159"/>
      <c r="F178" s="159"/>
      <c r="G178" s="159"/>
      <c r="H178" s="159"/>
      <c r="I178" s="159"/>
      <c r="J178" s="159"/>
      <c r="K178" s="159"/>
      <c r="L178" s="188"/>
      <c r="M178" s="163"/>
      <c r="N178" s="163"/>
      <c r="O178" s="163"/>
      <c r="P178" s="163"/>
      <c r="Q178" s="163"/>
      <c r="R178" s="163"/>
      <c r="S178" s="163"/>
      <c r="T178" s="163"/>
      <c r="U178" s="163"/>
      <c r="V178" s="165"/>
      <c r="W178" s="12"/>
      <c r="X178" s="12"/>
    </row>
    <row r="179" spans="2:24" ht="15" customHeight="1" thickTop="1" thickBot="1" x14ac:dyDescent="0.3">
      <c r="B179" s="160"/>
      <c r="C179" s="163"/>
      <c r="D179" s="163"/>
      <c r="E179" s="163"/>
      <c r="F179" s="163"/>
      <c r="G179" s="163"/>
      <c r="H179" s="163"/>
      <c r="I179" s="163"/>
      <c r="J179" s="163"/>
      <c r="K179" s="163"/>
      <c r="L179" s="165"/>
      <c r="M179" s="940" t="s">
        <v>15</v>
      </c>
      <c r="N179" s="941"/>
      <c r="O179" s="941"/>
      <c r="P179" s="941"/>
      <c r="Q179" s="942"/>
      <c r="R179" s="189">
        <f>SUM(S169:S177)</f>
        <v>138609733.31173944</v>
      </c>
      <c r="S179" s="190">
        <f>SUM(S169:S177)</f>
        <v>138609733.31173944</v>
      </c>
      <c r="T179" s="190">
        <f>SUM(U169:U177)</f>
        <v>138609727.30000001</v>
      </c>
      <c r="U179" s="191">
        <f>SUM(U169:U177)</f>
        <v>138609727.30000001</v>
      </c>
      <c r="V179" s="190" t="s">
        <v>7</v>
      </c>
      <c r="W179" s="12"/>
      <c r="X179" s="12"/>
    </row>
    <row r="180" spans="2:24" ht="15" customHeight="1" thickBot="1" x14ac:dyDescent="0.3">
      <c r="B180" s="178"/>
      <c r="C180" s="181"/>
      <c r="D180" s="181"/>
      <c r="E180" s="181"/>
      <c r="F180" s="181"/>
      <c r="G180" s="181"/>
      <c r="H180" s="181"/>
      <c r="I180" s="181"/>
      <c r="J180" s="181"/>
      <c r="K180" s="181"/>
      <c r="L180" s="183"/>
      <c r="M180" s="909" t="s">
        <v>26</v>
      </c>
      <c r="N180" s="910"/>
      <c r="O180" s="910"/>
      <c r="P180" s="910"/>
      <c r="Q180" s="911"/>
      <c r="R180" s="753">
        <f xml:space="preserve"> (R179-T179)/R179</f>
        <v>4.3371697565358327E-8</v>
      </c>
      <c r="S180" s="181"/>
      <c r="T180" s="181"/>
      <c r="U180" s="181"/>
      <c r="V180" s="183"/>
      <c r="W180" s="12"/>
      <c r="X180" s="12"/>
    </row>
    <row r="181" spans="2:24" ht="15" customHeight="1" thickTop="1" x14ac:dyDescent="0.25">
      <c r="K181" s="12"/>
      <c r="L181" s="14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2:24" ht="15" customHeight="1" x14ac:dyDescent="0.25">
      <c r="K182" s="12"/>
      <c r="L182" s="14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2:24" ht="15" customHeight="1" x14ac:dyDescent="0.25">
      <c r="K183" s="12"/>
      <c r="L183" s="14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2:24" ht="15" customHeight="1" x14ac:dyDescent="0.25">
      <c r="K184" s="12"/>
      <c r="L184" s="14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2:24" ht="15" customHeight="1" thickBot="1" x14ac:dyDescent="0.3">
      <c r="K185" s="12"/>
      <c r="L185" s="14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2:24" ht="21.75" customHeight="1" thickTop="1" thickBot="1" x14ac:dyDescent="0.35">
      <c r="B186" s="882" t="s">
        <v>54</v>
      </c>
      <c r="C186" s="883"/>
      <c r="D186" s="883"/>
      <c r="E186" s="883"/>
      <c r="F186" s="883"/>
      <c r="G186" s="883"/>
      <c r="H186" s="883"/>
      <c r="I186" s="883"/>
      <c r="J186" s="883"/>
      <c r="K186" s="883"/>
      <c r="L186" s="883"/>
      <c r="M186" s="883"/>
      <c r="N186" s="883"/>
      <c r="O186" s="883"/>
      <c r="P186" s="883"/>
      <c r="Q186" s="883"/>
      <c r="R186" s="884"/>
      <c r="S186" s="193"/>
      <c r="T186" s="12"/>
      <c r="U186" s="12"/>
      <c r="V186" s="12"/>
      <c r="W186" s="12"/>
    </row>
    <row r="187" spans="2:24" ht="15" customHeight="1" x14ac:dyDescent="0.25">
      <c r="B187" s="209" t="s">
        <v>50</v>
      </c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197"/>
      <c r="P187" s="197"/>
      <c r="Q187" s="197"/>
      <c r="R187" s="198"/>
      <c r="T187" s="12"/>
      <c r="U187" s="12"/>
      <c r="V187" s="12"/>
      <c r="W187" s="12"/>
    </row>
    <row r="188" spans="2:24" ht="15" customHeight="1" x14ac:dyDescent="0.25">
      <c r="B188" s="195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211" t="s">
        <v>52</v>
      </c>
      <c r="N188" s="212"/>
      <c r="O188" s="212"/>
      <c r="P188" s="212"/>
      <c r="Q188" s="212"/>
      <c r="R188" s="213"/>
      <c r="T188" s="12"/>
      <c r="U188" s="12"/>
      <c r="V188" s="12"/>
      <c r="W188" s="12"/>
    </row>
    <row r="189" spans="2:24" ht="15" customHeight="1" x14ac:dyDescent="0.25">
      <c r="B189" s="195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205" t="s">
        <v>53</v>
      </c>
      <c r="N189" s="206"/>
      <c r="O189" s="206"/>
      <c r="P189" s="206"/>
      <c r="Q189" s="206"/>
      <c r="R189" s="196"/>
      <c r="S189" s="12"/>
      <c r="T189" s="12"/>
      <c r="U189" s="12"/>
      <c r="V189" s="12"/>
      <c r="W189" s="12"/>
    </row>
    <row r="190" spans="2:24" ht="15" customHeight="1" x14ac:dyDescent="0.25">
      <c r="B190" s="195"/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205" t="s">
        <v>55</v>
      </c>
      <c r="N190" s="206"/>
      <c r="O190" s="206"/>
      <c r="P190" s="206"/>
      <c r="Q190" s="206"/>
      <c r="R190" s="196"/>
      <c r="S190" s="12"/>
      <c r="T190" s="12"/>
      <c r="U190" s="12"/>
      <c r="V190" s="12"/>
      <c r="W190" s="12"/>
    </row>
    <row r="191" spans="2:24" ht="15" customHeight="1" x14ac:dyDescent="0.25">
      <c r="B191" s="195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207" t="s">
        <v>56</v>
      </c>
      <c r="N191" s="208"/>
      <c r="O191" s="208"/>
      <c r="P191" s="199"/>
      <c r="Q191" s="199"/>
      <c r="R191" s="200"/>
      <c r="S191" s="12"/>
      <c r="T191" s="12"/>
      <c r="U191" s="12"/>
      <c r="V191" s="12"/>
      <c r="W191" s="12"/>
    </row>
    <row r="192" spans="2:24" ht="15" customHeight="1" thickBot="1" x14ac:dyDescent="0.3">
      <c r="B192" s="203" t="s">
        <v>51</v>
      </c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1"/>
      <c r="Q192" s="201"/>
      <c r="R192" s="202"/>
      <c r="S192" s="12"/>
      <c r="T192" s="12"/>
      <c r="U192" s="12"/>
      <c r="V192" s="12"/>
      <c r="W192" s="12"/>
    </row>
    <row r="193" spans="11:24" ht="15" customHeight="1" thickTop="1" x14ac:dyDescent="0.25">
      <c r="K193" s="12"/>
      <c r="L193" s="14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1:24" ht="15" customHeight="1" x14ac:dyDescent="0.25">
      <c r="K194" s="12"/>
      <c r="L194" s="14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1:24" ht="15" customHeight="1" x14ac:dyDescent="0.25">
      <c r="K195" s="12"/>
      <c r="L195" s="14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1:24" ht="15" customHeight="1" x14ac:dyDescent="0.25">
      <c r="K196" s="12"/>
      <c r="L196" s="14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1:24" ht="15" customHeight="1" x14ac:dyDescent="0.25">
      <c r="K197" s="12"/>
      <c r="L197" s="14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1:24" ht="15" customHeight="1" x14ac:dyDescent="0.25">
      <c r="K198" s="12"/>
      <c r="L198" s="14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1:24" ht="15" customHeight="1" x14ac:dyDescent="0.25">
      <c r="K199" s="12"/>
      <c r="L199" s="14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1:24" ht="15" customHeight="1" x14ac:dyDescent="0.25">
      <c r="K200" s="12"/>
      <c r="L200" s="14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1:24" ht="15" customHeight="1" x14ac:dyDescent="0.25">
      <c r="K201" s="12"/>
      <c r="L201" s="14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1:24" ht="15" customHeight="1" x14ac:dyDescent="0.25">
      <c r="K202" s="12"/>
      <c r="L202" s="14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1:24" ht="15" customHeight="1" x14ac:dyDescent="0.25">
      <c r="K203" s="12"/>
      <c r="L203" s="14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1:24" ht="15" customHeight="1" x14ac:dyDescent="0.25">
      <c r="K204" s="12"/>
      <c r="L204" s="14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1:24" ht="15" customHeight="1" x14ac:dyDescent="0.25">
      <c r="K205" s="12"/>
      <c r="L205" s="14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1:24" ht="15" customHeight="1" x14ac:dyDescent="0.25">
      <c r="K206" s="12"/>
      <c r="L206" s="14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1:24" ht="15" customHeight="1" x14ac:dyDescent="0.25">
      <c r="K207" s="12"/>
      <c r="L207" s="14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1:24" ht="15" customHeight="1" x14ac:dyDescent="0.25">
      <c r="K208" s="12"/>
      <c r="L208" s="14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1:24" ht="15" customHeight="1" x14ac:dyDescent="0.25">
      <c r="K209" s="12"/>
      <c r="L209" s="14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1:24" ht="15" customHeight="1" x14ac:dyDescent="0.25">
      <c r="K210" s="12"/>
      <c r="L210" s="14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1:24" ht="15" customHeight="1" x14ac:dyDescent="0.25">
      <c r="K211" s="12"/>
      <c r="L211" s="14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1:24" ht="15" customHeight="1" x14ac:dyDescent="0.25">
      <c r="K212" s="12"/>
      <c r="L212" s="14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1:24" ht="15" customHeight="1" x14ac:dyDescent="0.25">
      <c r="K213" s="12"/>
      <c r="L213" s="14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1:24" ht="15" customHeight="1" x14ac:dyDescent="0.25">
      <c r="K214" s="12"/>
      <c r="L214" s="14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1:24" ht="15" customHeight="1" x14ac:dyDescent="0.25">
      <c r="K215" s="12"/>
      <c r="L215" s="14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1:24" ht="15" customHeight="1" x14ac:dyDescent="0.25">
      <c r="K216" s="12"/>
      <c r="L216" s="14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1:24" ht="15" customHeight="1" x14ac:dyDescent="0.25">
      <c r="K217" s="12"/>
      <c r="L217" s="14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1:24" ht="15" customHeight="1" x14ac:dyDescent="0.25">
      <c r="K218" s="12"/>
      <c r="L218" s="14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1:24" ht="15" customHeight="1" x14ac:dyDescent="0.25">
      <c r="K219" s="12"/>
      <c r="L219" s="14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1:24" ht="15" customHeight="1" x14ac:dyDescent="0.25">
      <c r="K220" s="12"/>
      <c r="L220" s="14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1:24" ht="15" customHeight="1" x14ac:dyDescent="0.25">
      <c r="K221" s="12"/>
      <c r="L221" s="14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1:24" ht="15" customHeight="1" x14ac:dyDescent="0.25">
      <c r="K222" s="12"/>
      <c r="L222" s="14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1:24" ht="15" customHeight="1" x14ac:dyDescent="0.25">
      <c r="K223" s="12"/>
      <c r="L223" s="14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1:24" ht="15" customHeight="1" x14ac:dyDescent="0.25">
      <c r="K224" s="12"/>
      <c r="L224" s="14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1:24" ht="15" customHeight="1" x14ac:dyDescent="0.25">
      <c r="K225" s="12"/>
      <c r="L225" s="14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1:24" ht="15" customHeight="1" x14ac:dyDescent="0.25">
      <c r="K226" s="12"/>
      <c r="L226" s="14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1:24" ht="15" customHeight="1" x14ac:dyDescent="0.25">
      <c r="K227" s="12"/>
      <c r="L227" s="14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1:24" ht="15" customHeight="1" x14ac:dyDescent="0.25">
      <c r="K228" s="12"/>
      <c r="L228" s="14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1:24" ht="15" customHeight="1" x14ac:dyDescent="0.25">
      <c r="K229" s="12"/>
      <c r="L229" s="14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1:24" ht="15" customHeight="1" x14ac:dyDescent="0.25">
      <c r="K230" s="12"/>
      <c r="L230" s="14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1:24" ht="15" customHeight="1" x14ac:dyDescent="0.25">
      <c r="K231" s="12"/>
      <c r="L231" s="14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1:24" ht="15" customHeight="1" x14ac:dyDescent="0.25">
      <c r="K232" s="12"/>
      <c r="L232" s="14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1:24" ht="15" customHeight="1" x14ac:dyDescent="0.25">
      <c r="K233" s="12"/>
      <c r="L233" s="14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1:24" ht="15" customHeight="1" x14ac:dyDescent="0.25">
      <c r="K234" s="12"/>
      <c r="L234" s="14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1:24" ht="15" customHeight="1" x14ac:dyDescent="0.25">
      <c r="K235" s="12"/>
      <c r="L235" s="14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1:24" ht="15" customHeight="1" x14ac:dyDescent="0.25">
      <c r="K236" s="12"/>
      <c r="L236" s="14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1:24" ht="15" customHeight="1" x14ac:dyDescent="0.25">
      <c r="K237" s="12"/>
      <c r="L237" s="14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1:24" ht="15" customHeight="1" x14ac:dyDescent="0.25">
      <c r="K238" s="12"/>
      <c r="L238" s="14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1:24" ht="15" customHeight="1" x14ac:dyDescent="0.25">
      <c r="K239" s="12"/>
      <c r="L239" s="14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1:24" ht="15" customHeight="1" x14ac:dyDescent="0.25">
      <c r="K240" s="12"/>
      <c r="L240" s="14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1:24" ht="15" customHeight="1" x14ac:dyDescent="0.25">
      <c r="K241" s="12"/>
      <c r="L241" s="14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1:24" ht="15" customHeight="1" x14ac:dyDescent="0.25">
      <c r="K242" s="12"/>
      <c r="L242" s="14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1:24" ht="15" customHeight="1" x14ac:dyDescent="0.25">
      <c r="K243" s="12"/>
      <c r="L243" s="14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1:24" ht="15" customHeight="1" x14ac:dyDescent="0.25">
      <c r="K244" s="12"/>
      <c r="L244" s="14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1:24" ht="15" customHeight="1" x14ac:dyDescent="0.25">
      <c r="K245" s="12"/>
      <c r="L245" s="14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1:24" ht="15" customHeight="1" x14ac:dyDescent="0.25">
      <c r="K246" s="12"/>
      <c r="L246" s="14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1:24" ht="15" customHeight="1" x14ac:dyDescent="0.25">
      <c r="K247" s="12"/>
      <c r="L247" s="14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1:24" ht="15" customHeight="1" x14ac:dyDescent="0.25">
      <c r="K248" s="12"/>
      <c r="L248" s="14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1:24" ht="15" customHeight="1" x14ac:dyDescent="0.25">
      <c r="K249" s="12"/>
      <c r="L249" s="14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1:24" ht="15" customHeight="1" x14ac:dyDescent="0.25">
      <c r="K250" s="12"/>
      <c r="L250" s="14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1:24" ht="15" customHeight="1" x14ac:dyDescent="0.25">
      <c r="K251" s="12"/>
      <c r="L251" s="14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1:24" ht="15" customHeight="1" x14ac:dyDescent="0.25">
      <c r="K252" s="12"/>
      <c r="L252" s="14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1:24" ht="15" customHeight="1" x14ac:dyDescent="0.25">
      <c r="K253" s="12"/>
      <c r="L253" s="14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1:24" ht="15" customHeight="1" x14ac:dyDescent="0.25">
      <c r="K254" s="12"/>
      <c r="L254" s="14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1:24" ht="15" customHeight="1" x14ac:dyDescent="0.25">
      <c r="K255" s="12"/>
      <c r="L255" s="14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1:24" ht="15" customHeight="1" x14ac:dyDescent="0.25">
      <c r="K256" s="12"/>
      <c r="L256" s="14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1:24" ht="15" customHeight="1" x14ac:dyDescent="0.25">
      <c r="K257" s="12"/>
      <c r="L257" s="14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1:24" ht="15" customHeight="1" x14ac:dyDescent="0.25">
      <c r="K258" s="12"/>
      <c r="L258" s="14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1:24" ht="15" customHeight="1" x14ac:dyDescent="0.25">
      <c r="K259" s="12"/>
      <c r="L259" s="14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1:24" ht="15" customHeight="1" x14ac:dyDescent="0.25">
      <c r="K260" s="12"/>
      <c r="L260" s="14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1:24" ht="15" customHeight="1" x14ac:dyDescent="0.25">
      <c r="K261" s="12"/>
      <c r="L261" s="14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1:24" ht="15" customHeight="1" x14ac:dyDescent="0.25">
      <c r="K262" s="12"/>
      <c r="L262" s="14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1:24" ht="15" customHeight="1" x14ac:dyDescent="0.25">
      <c r="K263" s="12"/>
      <c r="L263" s="14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1:24" ht="15" customHeight="1" x14ac:dyDescent="0.25">
      <c r="K264" s="12"/>
      <c r="L264" s="14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1:24" ht="15" customHeight="1" x14ac:dyDescent="0.25">
      <c r="K265" s="12"/>
      <c r="L265" s="14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1:24" ht="15" customHeight="1" x14ac:dyDescent="0.25">
      <c r="K266" s="12"/>
      <c r="L266" s="14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1:24" ht="15" customHeight="1" x14ac:dyDescent="0.25">
      <c r="K267" s="12"/>
      <c r="L267" s="14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1:24" ht="15" customHeight="1" x14ac:dyDescent="0.25">
      <c r="K268" s="12"/>
      <c r="L268" s="14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1:24" ht="15" customHeight="1" x14ac:dyDescent="0.25">
      <c r="K269" s="12"/>
      <c r="L269" s="14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1:24" ht="15" customHeight="1" x14ac:dyDescent="0.25">
      <c r="K270" s="12"/>
      <c r="L270" s="14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1:24" ht="15" customHeight="1" x14ac:dyDescent="0.25">
      <c r="K271" s="12"/>
      <c r="L271" s="14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1:24" ht="15" customHeight="1" x14ac:dyDescent="0.25">
      <c r="K272" s="12"/>
      <c r="L272" s="14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1:24" ht="15" customHeight="1" x14ac:dyDescent="0.25">
      <c r="K273" s="12"/>
      <c r="L273" s="14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1:24" ht="15" customHeight="1" x14ac:dyDescent="0.25">
      <c r="K274" s="12"/>
      <c r="L274" s="14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1:24" ht="15" customHeight="1" x14ac:dyDescent="0.25">
      <c r="K275" s="12"/>
      <c r="L275" s="14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1:24" ht="15" customHeight="1" x14ac:dyDescent="0.25">
      <c r="K276" s="12"/>
      <c r="L276" s="14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1:24" ht="15" customHeight="1" x14ac:dyDescent="0.25">
      <c r="K277" s="12"/>
      <c r="L277" s="14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1:24" ht="15" customHeight="1" x14ac:dyDescent="0.25">
      <c r="K278" s="12"/>
      <c r="L278" s="14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1:24" ht="15" customHeight="1" x14ac:dyDescent="0.25">
      <c r="K279" s="12"/>
      <c r="L279" s="14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1:24" ht="15" customHeight="1" x14ac:dyDescent="0.25">
      <c r="K280" s="12"/>
      <c r="L280" s="14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1:24" ht="15" customHeight="1" x14ac:dyDescent="0.25">
      <c r="K281" s="12"/>
      <c r="L281" s="14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1:24" ht="15" customHeight="1" x14ac:dyDescent="0.25">
      <c r="K282" s="12"/>
      <c r="L282" s="14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1:24" ht="15" customHeight="1" x14ac:dyDescent="0.25">
      <c r="K283" s="12"/>
      <c r="L283" s="14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1:24" ht="15" customHeight="1" x14ac:dyDescent="0.25">
      <c r="K284" s="12"/>
      <c r="L284" s="14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1:24" ht="15" customHeight="1" x14ac:dyDescent="0.25">
      <c r="K285" s="12"/>
      <c r="L285" s="14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1:24" ht="15" customHeight="1" x14ac:dyDescent="0.25">
      <c r="K286" s="12"/>
      <c r="L286" s="14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1:24" ht="15" customHeight="1" x14ac:dyDescent="0.25">
      <c r="K287" s="12"/>
      <c r="L287" s="14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1:24" ht="15" customHeight="1" x14ac:dyDescent="0.25">
      <c r="K288" s="12"/>
      <c r="L288" s="14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1:24" ht="15" customHeight="1" x14ac:dyDescent="0.25">
      <c r="K289" s="12"/>
      <c r="L289" s="14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1:24" ht="15" customHeight="1" x14ac:dyDescent="0.25">
      <c r="K290" s="12"/>
      <c r="L290" s="14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1:24" ht="15" customHeight="1" x14ac:dyDescent="0.25">
      <c r="K291" s="12"/>
      <c r="L291" s="14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1:24" ht="15" customHeight="1" x14ac:dyDescent="0.25">
      <c r="K292" s="12"/>
      <c r="L292" s="14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1:24" ht="15" customHeight="1" x14ac:dyDescent="0.25">
      <c r="K293" s="12"/>
      <c r="L293" s="14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1:24" ht="15" customHeight="1" x14ac:dyDescent="0.25">
      <c r="K294" s="12"/>
      <c r="L294" s="14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1:24" ht="15" customHeight="1" x14ac:dyDescent="0.25">
      <c r="K295" s="12"/>
      <c r="L295" s="14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1:24" ht="15" customHeight="1" x14ac:dyDescent="0.25">
      <c r="K296" s="12"/>
      <c r="L296" s="14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1:24" ht="15" customHeight="1" x14ac:dyDescent="0.25">
      <c r="K297" s="12"/>
      <c r="L297" s="14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</sheetData>
  <mergeCells count="49">
    <mergeCell ref="R4:S4"/>
    <mergeCell ref="M2:T2"/>
    <mergeCell ref="C7:L7"/>
    <mergeCell ref="C167:L167"/>
    <mergeCell ref="M79:Q79"/>
    <mergeCell ref="M80:Q80"/>
    <mergeCell ref="M59:Q59"/>
    <mergeCell ref="M60:Q60"/>
    <mergeCell ref="R167:V167"/>
    <mergeCell ref="R147:V147"/>
    <mergeCell ref="C147:L147"/>
    <mergeCell ref="R127:V127"/>
    <mergeCell ref="C127:L127"/>
    <mergeCell ref="C107:L107"/>
    <mergeCell ref="C87:L87"/>
    <mergeCell ref="M99:Q99"/>
    <mergeCell ref="M100:Q100"/>
    <mergeCell ref="M127:N127"/>
    <mergeCell ref="M107:N107"/>
    <mergeCell ref="M4:O4"/>
    <mergeCell ref="M140:Q140"/>
    <mergeCell ref="M7:N7"/>
    <mergeCell ref="M167:N167"/>
    <mergeCell ref="M147:N147"/>
    <mergeCell ref="M179:Q179"/>
    <mergeCell ref="M119:Q119"/>
    <mergeCell ref="M120:Q120"/>
    <mergeCell ref="R7:V7"/>
    <mergeCell ref="M27:N27"/>
    <mergeCell ref="R27:V27"/>
    <mergeCell ref="M39:Q39"/>
    <mergeCell ref="M19:Q19"/>
    <mergeCell ref="M20:Q20"/>
    <mergeCell ref="B186:R186"/>
    <mergeCell ref="C47:L47"/>
    <mergeCell ref="C27:L27"/>
    <mergeCell ref="M47:N47"/>
    <mergeCell ref="R47:V47"/>
    <mergeCell ref="M40:Q40"/>
    <mergeCell ref="R107:V107"/>
    <mergeCell ref="C67:L67"/>
    <mergeCell ref="M67:N67"/>
    <mergeCell ref="R67:V67"/>
    <mergeCell ref="M87:N87"/>
    <mergeCell ref="R87:V87"/>
    <mergeCell ref="M180:Q180"/>
    <mergeCell ref="M159:Q159"/>
    <mergeCell ref="M160:Q160"/>
    <mergeCell ref="M139:Q139"/>
  </mergeCells>
  <conditionalFormatting sqref="R20 R40 R100 R60 R80 R120 R140 R160 R180">
    <cfRule type="cellIs" dxfId="7" priority="17" operator="greaterThan">
      <formula>"0.000001%"</formula>
    </cfRule>
  </conditionalFormatting>
  <conditionalFormatting sqref="T9">
    <cfRule type="cellIs" dxfId="6" priority="1" operator="greaterThan">
      <formula>$R$9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H97"/>
  <sheetViews>
    <sheetView zoomScaleNormal="10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3.7109375" customWidth="1"/>
    <col min="2" max="2" width="18.7109375" customWidth="1"/>
    <col min="3" max="3" width="10.28515625" bestFit="1" customWidth="1"/>
    <col min="4" max="5" width="8.7109375" hidden="1" customWidth="1"/>
    <col min="6" max="6" width="8.5703125" hidden="1" customWidth="1"/>
    <col min="7" max="9" width="7" hidden="1" customWidth="1"/>
    <col min="10" max="11" width="6.5703125" hidden="1" customWidth="1"/>
    <col min="12" max="12" width="17" hidden="1" customWidth="1"/>
    <col min="13" max="13" width="5.28515625" hidden="1" customWidth="1"/>
    <col min="14" max="15" width="11.42578125" hidden="1" customWidth="1"/>
    <col min="16" max="16" width="15.5703125" hidden="1" customWidth="1"/>
    <col min="17" max="17" width="15.140625" hidden="1" customWidth="1"/>
    <col min="18" max="19" width="18" hidden="1" customWidth="1"/>
    <col min="20" max="22" width="11.42578125" hidden="1" customWidth="1"/>
    <col min="23" max="23" width="8.7109375" hidden="1" customWidth="1"/>
    <col min="24" max="24" width="6.7109375" hidden="1" customWidth="1"/>
    <col min="25" max="25" width="13.28515625" bestFit="1" customWidth="1"/>
    <col min="26" max="26" width="10" bestFit="1" customWidth="1"/>
    <col min="27" max="27" width="13.42578125" bestFit="1" customWidth="1"/>
    <col min="28" max="28" width="2.7109375" hidden="1" customWidth="1"/>
    <col min="29" max="29" width="6.5703125" bestFit="1" customWidth="1"/>
    <col min="30" max="30" width="16.7109375" bestFit="1" customWidth="1"/>
    <col min="31" max="31" width="12.7109375" hidden="1" customWidth="1"/>
    <col min="32" max="32" width="14.42578125" bestFit="1" customWidth="1"/>
    <col min="33" max="33" width="12.7109375" hidden="1" customWidth="1"/>
    <col min="34" max="34" width="9.85546875" bestFit="1" customWidth="1"/>
  </cols>
  <sheetData>
    <row r="1" spans="2:34" ht="19.5" thickBot="1" x14ac:dyDescent="0.3">
      <c r="B1" s="1040" t="s">
        <v>152</v>
      </c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1041"/>
      <c r="Z1" s="1041"/>
      <c r="AA1" s="1041"/>
      <c r="AB1" s="1041"/>
      <c r="AC1" s="1041"/>
      <c r="AD1" s="1041"/>
      <c r="AE1" s="1041"/>
      <c r="AF1" s="1041"/>
      <c r="AG1" s="1041"/>
      <c r="AH1" s="1042"/>
    </row>
    <row r="3" spans="2:34" ht="15.75" thickBot="1" x14ac:dyDescent="0.3"/>
    <row r="4" spans="2:34" ht="23.25" customHeight="1" thickTop="1" thickBot="1" x14ac:dyDescent="0.3">
      <c r="B4" s="359" t="s">
        <v>121</v>
      </c>
      <c r="C4" s="360" t="s">
        <v>126</v>
      </c>
      <c r="D4" s="926" t="s">
        <v>28</v>
      </c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5"/>
      <c r="Y4" s="924" t="s">
        <v>13</v>
      </c>
      <c r="Z4" s="925"/>
      <c r="AA4" s="1037"/>
      <c r="AB4" s="1038"/>
      <c r="AC4" s="1039"/>
      <c r="AD4" s="924" t="s">
        <v>14</v>
      </c>
      <c r="AE4" s="926"/>
      <c r="AF4" s="926"/>
      <c r="AG4" s="926"/>
      <c r="AH4" s="925"/>
    </row>
    <row r="5" spans="2:34" s="307" customFormat="1" ht="48" customHeight="1" thickBot="1" x14ac:dyDescent="0.3">
      <c r="B5" s="361"/>
      <c r="C5" s="362" t="s">
        <v>57</v>
      </c>
      <c r="D5" s="363" t="s">
        <v>59</v>
      </c>
      <c r="E5" s="364" t="s">
        <v>60</v>
      </c>
      <c r="F5" s="364" t="s">
        <v>61</v>
      </c>
      <c r="G5" s="364" t="s">
        <v>62</v>
      </c>
      <c r="H5" s="364" t="s">
        <v>63</v>
      </c>
      <c r="I5" s="364" t="s">
        <v>64</v>
      </c>
      <c r="J5" s="364" t="s">
        <v>41</v>
      </c>
      <c r="K5" s="364" t="s">
        <v>65</v>
      </c>
      <c r="L5" s="365" t="s">
        <v>66</v>
      </c>
      <c r="M5" s="364" t="s">
        <v>44</v>
      </c>
      <c r="N5" s="365" t="s">
        <v>67</v>
      </c>
      <c r="O5" s="365" t="s">
        <v>68</v>
      </c>
      <c r="P5" s="365" t="s">
        <v>69</v>
      </c>
      <c r="Q5" s="365" t="s">
        <v>70</v>
      </c>
      <c r="R5" s="365" t="s">
        <v>71</v>
      </c>
      <c r="S5" s="365" t="s">
        <v>131</v>
      </c>
      <c r="T5" s="365" t="s">
        <v>72</v>
      </c>
      <c r="U5" s="365" t="s">
        <v>73</v>
      </c>
      <c r="V5" s="365" t="s">
        <v>150</v>
      </c>
      <c r="W5" s="365" t="s">
        <v>36</v>
      </c>
      <c r="X5" s="366" t="s">
        <v>74</v>
      </c>
      <c r="Y5" s="367" t="s">
        <v>24</v>
      </c>
      <c r="Z5" s="368" t="s">
        <v>12</v>
      </c>
      <c r="AA5" s="369" t="s">
        <v>9</v>
      </c>
      <c r="AB5" s="370"/>
      <c r="AC5" s="371" t="s">
        <v>10</v>
      </c>
      <c r="AD5" s="367" t="s">
        <v>11</v>
      </c>
      <c r="AE5" s="372"/>
      <c r="AF5" s="362" t="s">
        <v>151</v>
      </c>
      <c r="AG5" s="373"/>
      <c r="AH5" s="371" t="s">
        <v>12</v>
      </c>
    </row>
    <row r="6" spans="2:34" ht="15.95" customHeight="1" x14ac:dyDescent="0.25">
      <c r="B6" s="374" t="s">
        <v>75</v>
      </c>
      <c r="C6" s="375" t="s">
        <v>77</v>
      </c>
      <c r="D6" s="376">
        <v>67</v>
      </c>
      <c r="E6" s="377">
        <v>15</v>
      </c>
      <c r="F6" s="377">
        <v>56</v>
      </c>
      <c r="G6" s="377"/>
      <c r="H6" s="377"/>
      <c r="I6" s="377"/>
      <c r="J6" s="377">
        <v>99</v>
      </c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6"/>
      <c r="Y6" s="378">
        <f>J6*SQRT(((D6+E6+F6)/2)*(((D6+E6+F6)/2)-D6)*(((D6+E6+F6)/2)-E6)*(((D6+E6+F6)/2)-F6))*100000</f>
        <v>3081366054.2038817</v>
      </c>
      <c r="Z6" s="379" t="s">
        <v>113</v>
      </c>
      <c r="AA6" s="376" t="s">
        <v>22</v>
      </c>
      <c r="AB6" s="377">
        <f t="shared" ref="AB6:AB11" si="0">IF(AA6="PLUS",1,IF(AA6="MINUS",-1,0))</f>
        <v>1</v>
      </c>
      <c r="AC6" s="380">
        <v>9</v>
      </c>
      <c r="AD6" s="381">
        <f>Y6</f>
        <v>3081366054.2038817</v>
      </c>
      <c r="AE6" s="382">
        <f t="shared" ref="AE6:AE11" si="1">AB6*AC6*AD6</f>
        <v>27732294487.834934</v>
      </c>
      <c r="AF6" s="375">
        <v>3081366054</v>
      </c>
      <c r="AG6" s="376">
        <f t="shared" ref="AG6:AG11" si="2">AB6*AC6*AF6</f>
        <v>27732294486</v>
      </c>
      <c r="AH6" s="380" t="s">
        <v>113</v>
      </c>
    </row>
    <row r="7" spans="2:34" ht="15.95" customHeight="1" x14ac:dyDescent="0.25">
      <c r="B7" s="383" t="s">
        <v>119</v>
      </c>
      <c r="C7" s="384" t="s">
        <v>122</v>
      </c>
      <c r="D7" s="385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>
        <f>W7/2</f>
        <v>44.5</v>
      </c>
      <c r="U7" s="386"/>
      <c r="V7" s="386"/>
      <c r="W7" s="386">
        <v>89</v>
      </c>
      <c r="X7" s="385"/>
      <c r="Y7" s="387">
        <f>(4/3)*PI()*T7^3*10</f>
        <v>3691209.0523475711</v>
      </c>
      <c r="Z7" s="388" t="s">
        <v>114</v>
      </c>
      <c r="AA7" s="385" t="s">
        <v>23</v>
      </c>
      <c r="AB7" s="386">
        <f t="shared" si="0"/>
        <v>0</v>
      </c>
      <c r="AC7" s="389">
        <v>12</v>
      </c>
      <c r="AD7" s="390">
        <f>Y7*100000/10</f>
        <v>36912090523.475716</v>
      </c>
      <c r="AE7" s="391">
        <f t="shared" si="1"/>
        <v>0</v>
      </c>
      <c r="AF7" s="384">
        <v>36912090523</v>
      </c>
      <c r="AG7" s="385">
        <f t="shared" si="2"/>
        <v>0</v>
      </c>
      <c r="AH7" s="389" t="s">
        <v>113</v>
      </c>
    </row>
    <row r="8" spans="2:34" ht="15.95" customHeight="1" x14ac:dyDescent="0.25">
      <c r="B8" s="383" t="s">
        <v>102</v>
      </c>
      <c r="C8" s="384" t="s">
        <v>123</v>
      </c>
      <c r="D8" s="385">
        <v>45</v>
      </c>
      <c r="E8" s="386">
        <v>37</v>
      </c>
      <c r="F8" s="386">
        <f>SQRT(O8^2-D8^2)</f>
        <v>63.710281744785902</v>
      </c>
      <c r="G8" s="386"/>
      <c r="H8" s="386"/>
      <c r="I8" s="386"/>
      <c r="J8" s="386"/>
      <c r="K8" s="386"/>
      <c r="L8" s="386"/>
      <c r="M8" s="386"/>
      <c r="N8" s="386"/>
      <c r="O8" s="386">
        <v>78</v>
      </c>
      <c r="P8" s="386"/>
      <c r="Q8" s="386"/>
      <c r="R8" s="386"/>
      <c r="S8" s="386"/>
      <c r="T8" s="386"/>
      <c r="U8" s="386"/>
      <c r="V8" s="386"/>
      <c r="W8" s="386"/>
      <c r="X8" s="385"/>
      <c r="Y8" s="387">
        <f>D8*E8*F8*10000</f>
        <v>1060776191.0506853</v>
      </c>
      <c r="Z8" s="388" t="s">
        <v>115</v>
      </c>
      <c r="AA8" s="385" t="s">
        <v>21</v>
      </c>
      <c r="AB8" s="386">
        <f t="shared" si="0"/>
        <v>-1</v>
      </c>
      <c r="AC8" s="389">
        <v>34</v>
      </c>
      <c r="AD8" s="390">
        <f>Y8*10</f>
        <v>10607761910.506853</v>
      </c>
      <c r="AE8" s="391">
        <f t="shared" si="1"/>
        <v>-360663904957.23303</v>
      </c>
      <c r="AF8" s="384">
        <v>10607761911</v>
      </c>
      <c r="AG8" s="385">
        <f t="shared" si="2"/>
        <v>-360663904974</v>
      </c>
      <c r="AH8" s="389" t="s">
        <v>113</v>
      </c>
    </row>
    <row r="9" spans="2:34" ht="15.95" customHeight="1" x14ac:dyDescent="0.25">
      <c r="B9" s="383" t="s">
        <v>106</v>
      </c>
      <c r="C9" s="384" t="s">
        <v>124</v>
      </c>
      <c r="D9" s="385"/>
      <c r="E9" s="386"/>
      <c r="F9" s="386"/>
      <c r="G9" s="386"/>
      <c r="H9" s="386"/>
      <c r="I9" s="386"/>
      <c r="J9" s="386">
        <v>112</v>
      </c>
      <c r="K9" s="386"/>
      <c r="L9" s="386"/>
      <c r="M9" s="386"/>
      <c r="N9" s="386"/>
      <c r="O9" s="386"/>
      <c r="P9" s="386"/>
      <c r="Q9" s="386"/>
      <c r="R9" s="386"/>
      <c r="S9" s="386"/>
      <c r="T9" s="386">
        <v>37</v>
      </c>
      <c r="U9" s="386"/>
      <c r="V9" s="386"/>
      <c r="W9" s="386"/>
      <c r="X9" s="385"/>
      <c r="Y9" s="387">
        <f>PI()*T9^2*J9*1000000</f>
        <v>481694118389.61584</v>
      </c>
      <c r="Z9" s="388" t="s">
        <v>117</v>
      </c>
      <c r="AA9" s="385" t="s">
        <v>22</v>
      </c>
      <c r="AB9" s="386">
        <f t="shared" si="0"/>
        <v>1</v>
      </c>
      <c r="AC9" s="389">
        <v>45</v>
      </c>
      <c r="AD9" s="390">
        <f>Y9/1000000*100000</f>
        <v>48169411838.961586</v>
      </c>
      <c r="AE9" s="391">
        <f t="shared" si="1"/>
        <v>2167623532753.2715</v>
      </c>
      <c r="AF9" s="384">
        <v>48169411839</v>
      </c>
      <c r="AG9" s="385">
        <f t="shared" si="2"/>
        <v>2167623532755</v>
      </c>
      <c r="AH9" s="389" t="s">
        <v>113</v>
      </c>
    </row>
    <row r="10" spans="2:34" ht="15.95" customHeight="1" x14ac:dyDescent="0.25">
      <c r="B10" s="383" t="s">
        <v>86</v>
      </c>
      <c r="C10" s="384" t="s">
        <v>88</v>
      </c>
      <c r="D10" s="385">
        <v>78</v>
      </c>
      <c r="E10" s="386">
        <v>45</v>
      </c>
      <c r="F10" s="386"/>
      <c r="G10" s="386"/>
      <c r="H10" s="386">
        <v>13</v>
      </c>
      <c r="I10" s="386">
        <f>E10*(L10/(J10+L10))</f>
        <v>7.5</v>
      </c>
      <c r="J10" s="386">
        <v>233</v>
      </c>
      <c r="K10" s="386"/>
      <c r="L10" s="386">
        <f>J10*(H10/(D10-H10))</f>
        <v>46.6</v>
      </c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5"/>
      <c r="Y10" s="387">
        <f>((J10/3)*((D10*E10)+SQRT((D10*E10)*(H10*I10))+H10*I10))</f>
        <v>325617.5</v>
      </c>
      <c r="Z10" s="388" t="s">
        <v>116</v>
      </c>
      <c r="AA10" s="385" t="s">
        <v>21</v>
      </c>
      <c r="AB10" s="386">
        <f t="shared" si="0"/>
        <v>-1</v>
      </c>
      <c r="AC10" s="389">
        <v>5</v>
      </c>
      <c r="AD10" s="390">
        <f>Y10*100000</f>
        <v>32561750000</v>
      </c>
      <c r="AE10" s="391">
        <f t="shared" si="1"/>
        <v>-162808750000</v>
      </c>
      <c r="AF10" s="384">
        <v>32561750000</v>
      </c>
      <c r="AG10" s="385">
        <f t="shared" si="2"/>
        <v>-162808750000</v>
      </c>
      <c r="AH10" s="389" t="s">
        <v>113</v>
      </c>
    </row>
    <row r="11" spans="2:34" ht="15.95" customHeight="1" thickBot="1" x14ac:dyDescent="0.3">
      <c r="B11" s="392" t="s">
        <v>120</v>
      </c>
      <c r="C11" s="393" t="s">
        <v>125</v>
      </c>
      <c r="D11" s="394">
        <v>55</v>
      </c>
      <c r="E11" s="395"/>
      <c r="F11" s="395"/>
      <c r="G11" s="395"/>
      <c r="H11" s="395">
        <f>D11*(L11/(J11+L11))</f>
        <v>2.2297297297297298</v>
      </c>
      <c r="I11" s="395"/>
      <c r="J11" s="395">
        <v>355</v>
      </c>
      <c r="K11" s="395"/>
      <c r="L11" s="395">
        <v>15</v>
      </c>
      <c r="M11" s="395"/>
      <c r="N11" s="395"/>
      <c r="O11" s="395"/>
      <c r="P11" s="395"/>
      <c r="Q11" s="395"/>
      <c r="R11" s="395"/>
      <c r="S11" s="395"/>
      <c r="T11" s="395"/>
      <c r="U11" s="395"/>
      <c r="V11" s="395"/>
      <c r="W11" s="395"/>
      <c r="X11" s="394">
        <v>88</v>
      </c>
      <c r="Y11" s="396">
        <f>((J11/3)*(((D11*X11*(D11/(2*TAN(PI()/X11))))/2)+SQRT(((D11*X11*(D11/(2*TAN(PI()/X11))))/2)*((H11/D11)^2*((D11*X11*(D11/(2*TAN(PI()/X11))))/2)))+((H11/D11)^2*((D11*X11*(D11/(2*TAN(PI()/X11))))/2))))*1000</f>
        <v>229798841722.49142</v>
      </c>
      <c r="Z11" s="397" t="s">
        <v>118</v>
      </c>
      <c r="AA11" s="394" t="s">
        <v>22</v>
      </c>
      <c r="AB11" s="395">
        <f t="shared" si="0"/>
        <v>1</v>
      </c>
      <c r="AC11" s="398">
        <v>34</v>
      </c>
      <c r="AD11" s="399">
        <f>Y11/1000*100000</f>
        <v>22979884172249.141</v>
      </c>
      <c r="AE11" s="400">
        <f t="shared" si="1"/>
        <v>781316061856470.75</v>
      </c>
      <c r="AF11" s="393">
        <v>22979884172249</v>
      </c>
      <c r="AG11" s="394">
        <f t="shared" si="2"/>
        <v>781316061856466</v>
      </c>
      <c r="AH11" s="398" t="s">
        <v>113</v>
      </c>
    </row>
    <row r="12" spans="2:34" ht="15.75" thickBot="1" x14ac:dyDescent="0.3">
      <c r="B12" s="401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3"/>
      <c r="Y12" s="402"/>
      <c r="Z12" s="402"/>
      <c r="AA12" s="402"/>
      <c r="AB12" s="402"/>
      <c r="AC12" s="402"/>
      <c r="AD12" s="402"/>
      <c r="AE12" s="402"/>
      <c r="AF12" s="402"/>
      <c r="AG12" s="402"/>
      <c r="AH12" s="403"/>
    </row>
    <row r="13" spans="2:34" ht="16.5" thickTop="1" thickBot="1" x14ac:dyDescent="0.3">
      <c r="B13" s="401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3"/>
      <c r="Y13" s="1031" t="s">
        <v>15</v>
      </c>
      <c r="Z13" s="1032"/>
      <c r="AA13" s="1032"/>
      <c r="AB13" s="1032"/>
      <c r="AC13" s="1033"/>
      <c r="AD13" s="404">
        <f>SUM(AE6:AE11)</f>
        <v>782987945028754.62</v>
      </c>
      <c r="AE13" s="405">
        <f>SUM(AE6:AE11)</f>
        <v>782987945028754.62</v>
      </c>
      <c r="AF13" s="405">
        <f>SUM(AG6:AG11)</f>
        <v>782987945028733</v>
      </c>
      <c r="AG13" s="406">
        <f>SUM(AG6:AG12)</f>
        <v>782987945028733</v>
      </c>
      <c r="AH13" s="405" t="s">
        <v>113</v>
      </c>
    </row>
    <row r="14" spans="2:34" ht="19.5" customHeight="1" thickBot="1" x14ac:dyDescent="0.3">
      <c r="B14" s="407"/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9"/>
      <c r="Y14" s="1034" t="s">
        <v>26</v>
      </c>
      <c r="Z14" s="1035"/>
      <c r="AA14" s="1035"/>
      <c r="AB14" s="1035"/>
      <c r="AC14" s="1036"/>
      <c r="AD14" s="410">
        <f xml:space="preserve"> (AD13-AF13)/AD13</f>
        <v>2.7618560588702089E-14</v>
      </c>
      <c r="AE14" s="408"/>
      <c r="AF14" s="408"/>
      <c r="AG14" s="408"/>
      <c r="AH14" s="409"/>
    </row>
    <row r="15" spans="2:34" ht="15.75" thickTop="1" x14ac:dyDescent="0.25"/>
    <row r="17" spans="2:34" ht="15.75" thickBot="1" x14ac:dyDescent="0.3"/>
    <row r="18" spans="2:34" ht="20.25" thickTop="1" thickBot="1" x14ac:dyDescent="0.3">
      <c r="B18" s="504" t="s">
        <v>121</v>
      </c>
      <c r="C18" s="505" t="s">
        <v>126</v>
      </c>
      <c r="D18" s="908" t="s">
        <v>28</v>
      </c>
      <c r="E18" s="908"/>
      <c r="F18" s="908"/>
      <c r="G18" s="908"/>
      <c r="H18" s="908"/>
      <c r="I18" s="908"/>
      <c r="J18" s="908"/>
      <c r="K18" s="908"/>
      <c r="L18" s="908"/>
      <c r="M18" s="908"/>
      <c r="N18" s="908"/>
      <c r="O18" s="908"/>
      <c r="P18" s="908"/>
      <c r="Q18" s="908"/>
      <c r="R18" s="908"/>
      <c r="S18" s="908"/>
      <c r="T18" s="908"/>
      <c r="U18" s="908"/>
      <c r="V18" s="908"/>
      <c r="W18" s="908"/>
      <c r="X18" s="907"/>
      <c r="Y18" s="906" t="s">
        <v>13</v>
      </c>
      <c r="Z18" s="907"/>
      <c r="AA18" s="1028"/>
      <c r="AB18" s="1029"/>
      <c r="AC18" s="1030"/>
      <c r="AD18" s="906" t="s">
        <v>14</v>
      </c>
      <c r="AE18" s="908"/>
      <c r="AF18" s="908"/>
      <c r="AG18" s="908"/>
      <c r="AH18" s="907"/>
    </row>
    <row r="19" spans="2:34" ht="48" customHeight="1" thickBot="1" x14ac:dyDescent="0.3">
      <c r="B19" s="506"/>
      <c r="C19" s="507" t="s">
        <v>57</v>
      </c>
      <c r="D19" s="508" t="s">
        <v>59</v>
      </c>
      <c r="E19" s="509" t="s">
        <v>60</v>
      </c>
      <c r="F19" s="509" t="s">
        <v>61</v>
      </c>
      <c r="G19" s="509" t="s">
        <v>62</v>
      </c>
      <c r="H19" s="509" t="s">
        <v>63</v>
      </c>
      <c r="I19" s="509" t="s">
        <v>64</v>
      </c>
      <c r="J19" s="509" t="s">
        <v>41</v>
      </c>
      <c r="K19" s="509" t="s">
        <v>65</v>
      </c>
      <c r="L19" s="510" t="s">
        <v>66</v>
      </c>
      <c r="M19" s="509" t="s">
        <v>44</v>
      </c>
      <c r="N19" s="510" t="s">
        <v>67</v>
      </c>
      <c r="O19" s="510" t="s">
        <v>68</v>
      </c>
      <c r="P19" s="510" t="s">
        <v>69</v>
      </c>
      <c r="Q19" s="510" t="s">
        <v>70</v>
      </c>
      <c r="R19" s="510" t="s">
        <v>71</v>
      </c>
      <c r="S19" s="510" t="s">
        <v>131</v>
      </c>
      <c r="T19" s="510" t="s">
        <v>72</v>
      </c>
      <c r="U19" s="510" t="s">
        <v>73</v>
      </c>
      <c r="V19" s="510" t="s">
        <v>150</v>
      </c>
      <c r="W19" s="510" t="s">
        <v>36</v>
      </c>
      <c r="X19" s="511" t="s">
        <v>74</v>
      </c>
      <c r="Y19" s="512" t="s">
        <v>24</v>
      </c>
      <c r="Z19" s="513" t="s">
        <v>12</v>
      </c>
      <c r="AA19" s="514" t="s">
        <v>9</v>
      </c>
      <c r="AB19" s="515"/>
      <c r="AC19" s="516" t="s">
        <v>10</v>
      </c>
      <c r="AD19" s="512" t="s">
        <v>11</v>
      </c>
      <c r="AE19" s="517"/>
      <c r="AF19" s="507" t="s">
        <v>151</v>
      </c>
      <c r="AG19" s="518"/>
      <c r="AH19" s="516" t="s">
        <v>12</v>
      </c>
    </row>
    <row r="20" spans="2:34" ht="15.95" customHeight="1" x14ac:dyDescent="0.25">
      <c r="B20" s="338" t="s">
        <v>94</v>
      </c>
      <c r="C20" s="339" t="s">
        <v>127</v>
      </c>
      <c r="D20" s="356">
        <v>60</v>
      </c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0"/>
      <c r="Y20" s="357">
        <f>D20^3*100000</f>
        <v>21600000000</v>
      </c>
      <c r="Z20" s="343" t="s">
        <v>113</v>
      </c>
      <c r="AA20" s="340" t="s">
        <v>22</v>
      </c>
      <c r="AB20" s="341">
        <f t="shared" ref="AB20:AB25" si="3">IF(AA20="PLUS",1,IF(AA20="MINUS",-1,0))</f>
        <v>1</v>
      </c>
      <c r="AC20" s="344">
        <v>9</v>
      </c>
      <c r="AD20" s="358">
        <f>Y20/100000*10</f>
        <v>2160000</v>
      </c>
      <c r="AE20" s="334">
        <f t="shared" ref="AE20:AE25" si="4">AB20*AC20*AD20</f>
        <v>19440000</v>
      </c>
      <c r="AF20" s="339">
        <v>2160000</v>
      </c>
      <c r="AG20" s="340">
        <f t="shared" ref="AG20:AG25" si="5">AB20*AC20*AF20</f>
        <v>19440000</v>
      </c>
      <c r="AH20" s="344" t="s">
        <v>114</v>
      </c>
    </row>
    <row r="21" spans="2:34" ht="15.95" customHeight="1" x14ac:dyDescent="0.25">
      <c r="B21" s="325" t="s">
        <v>129</v>
      </c>
      <c r="C21" s="326" t="s">
        <v>107</v>
      </c>
      <c r="D21" s="327"/>
      <c r="E21" s="328"/>
      <c r="F21" s="328"/>
      <c r="G21" s="328"/>
      <c r="H21" s="328"/>
      <c r="I21" s="328"/>
      <c r="J21" s="328">
        <v>76</v>
      </c>
      <c r="K21" s="328"/>
      <c r="L21" s="328"/>
      <c r="M21" s="328"/>
      <c r="N21" s="328"/>
      <c r="O21" s="328"/>
      <c r="P21" s="328"/>
      <c r="Q21" s="328"/>
      <c r="R21" s="328"/>
      <c r="S21" s="328"/>
      <c r="T21" s="328">
        <f>W21/2</f>
        <v>83</v>
      </c>
      <c r="U21" s="328">
        <f>SQRT(T21^2-(T21-J21)^2)</f>
        <v>82.704292512541329</v>
      </c>
      <c r="V21" s="328"/>
      <c r="W21" s="328">
        <v>166</v>
      </c>
      <c r="X21" s="327"/>
      <c r="Y21" s="329">
        <f>(((PI()*J21)/6)*(3*U21^2+J21^2))*10</f>
        <v>10464100.586380979</v>
      </c>
      <c r="Z21" s="330" t="s">
        <v>114</v>
      </c>
      <c r="AA21" s="327" t="s">
        <v>21</v>
      </c>
      <c r="AB21" s="328">
        <f t="shared" si="3"/>
        <v>-1</v>
      </c>
      <c r="AC21" s="331">
        <v>56</v>
      </c>
      <c r="AD21" s="332">
        <f>Y21</f>
        <v>10464100.586380979</v>
      </c>
      <c r="AE21" s="333">
        <f t="shared" si="4"/>
        <v>-585989632.83733487</v>
      </c>
      <c r="AF21" s="326">
        <v>10464101</v>
      </c>
      <c r="AG21" s="327">
        <f t="shared" si="5"/>
        <v>-585989656</v>
      </c>
      <c r="AH21" s="331" t="s">
        <v>114</v>
      </c>
    </row>
    <row r="22" spans="2:34" ht="15.95" customHeight="1" x14ac:dyDescent="0.25">
      <c r="B22" s="325" t="s">
        <v>128</v>
      </c>
      <c r="C22" s="326" t="s">
        <v>124</v>
      </c>
      <c r="D22" s="327"/>
      <c r="E22" s="328"/>
      <c r="F22" s="328"/>
      <c r="G22" s="328"/>
      <c r="H22" s="328"/>
      <c r="I22" s="328"/>
      <c r="J22" s="328"/>
      <c r="K22" s="328">
        <v>47</v>
      </c>
      <c r="L22" s="328"/>
      <c r="M22" s="328"/>
      <c r="N22" s="328"/>
      <c r="O22" s="328"/>
      <c r="P22" s="328"/>
      <c r="Q22" s="328"/>
      <c r="R22" s="328"/>
      <c r="S22" s="328"/>
      <c r="T22" s="328">
        <v>67</v>
      </c>
      <c r="U22" s="328">
        <f>SQRT(T22^2-(T22-K22)^2)</f>
        <v>63.945289114992669</v>
      </c>
      <c r="V22" s="328"/>
      <c r="W22" s="328"/>
      <c r="X22" s="327"/>
      <c r="Y22" s="329">
        <f>((((PI()*K22)/6)*(3*U22^2+K22^2))+((PI()*(T22-K22)*U22^2)/3))*10000</f>
        <v>4418817618.8822355</v>
      </c>
      <c r="Z22" s="330" t="s">
        <v>115</v>
      </c>
      <c r="AA22" s="327" t="s">
        <v>22</v>
      </c>
      <c r="AB22" s="328">
        <f t="shared" si="3"/>
        <v>1</v>
      </c>
      <c r="AC22" s="331">
        <v>17</v>
      </c>
      <c r="AD22" s="332">
        <f>Y22/10000*10</f>
        <v>4418817.6188822351</v>
      </c>
      <c r="AE22" s="333">
        <f t="shared" si="4"/>
        <v>75119899.520998001</v>
      </c>
      <c r="AF22" s="326">
        <v>4418818</v>
      </c>
      <c r="AG22" s="327">
        <f t="shared" si="5"/>
        <v>75119906</v>
      </c>
      <c r="AH22" s="331" t="s">
        <v>114</v>
      </c>
    </row>
    <row r="23" spans="2:34" ht="15.95" customHeight="1" x14ac:dyDescent="0.25">
      <c r="B23" s="325" t="s">
        <v>83</v>
      </c>
      <c r="C23" s="326" t="s">
        <v>130</v>
      </c>
      <c r="D23" s="327">
        <f>(2*SIN(((2*PI())/X23)/2)*S23)</f>
        <v>7.3120729453106499</v>
      </c>
      <c r="E23" s="328"/>
      <c r="F23" s="328"/>
      <c r="G23" s="328"/>
      <c r="H23" s="328"/>
      <c r="I23" s="328"/>
      <c r="J23" s="328">
        <v>147</v>
      </c>
      <c r="K23" s="328"/>
      <c r="L23" s="328"/>
      <c r="M23" s="328"/>
      <c r="N23" s="328"/>
      <c r="O23" s="328"/>
      <c r="P23" s="328"/>
      <c r="Q23" s="328"/>
      <c r="R23" s="328">
        <f>COS(((2*PI())/X23)/2)*S23</f>
        <v>77.914269535885495</v>
      </c>
      <c r="S23" s="328">
        <v>78</v>
      </c>
      <c r="T23" s="328"/>
      <c r="U23" s="328"/>
      <c r="V23" s="328"/>
      <c r="W23" s="328"/>
      <c r="X23" s="327">
        <v>67</v>
      </c>
      <c r="Y23" s="329">
        <f>((D23*X23*J23*R23)/2)*1000000</f>
        <v>2805560642549.2622</v>
      </c>
      <c r="Z23" s="330" t="s">
        <v>117</v>
      </c>
      <c r="AA23" s="327" t="s">
        <v>80</v>
      </c>
      <c r="AB23" s="328">
        <f t="shared" si="3"/>
        <v>0</v>
      </c>
      <c r="AC23" s="331">
        <v>18</v>
      </c>
      <c r="AD23" s="332">
        <f>Y23/1000000*10</f>
        <v>28055606.425492622</v>
      </c>
      <c r="AE23" s="333">
        <f t="shared" si="4"/>
        <v>0</v>
      </c>
      <c r="AF23" s="326">
        <v>28055606</v>
      </c>
      <c r="AG23" s="327">
        <f t="shared" si="5"/>
        <v>0</v>
      </c>
      <c r="AH23" s="331" t="s">
        <v>114</v>
      </c>
    </row>
    <row r="24" spans="2:34" ht="15.95" customHeight="1" x14ac:dyDescent="0.25">
      <c r="B24" s="325" t="s">
        <v>75</v>
      </c>
      <c r="C24" s="326" t="s">
        <v>77</v>
      </c>
      <c r="D24" s="327">
        <v>67</v>
      </c>
      <c r="E24" s="328">
        <v>68</v>
      </c>
      <c r="F24" s="328">
        <v>56</v>
      </c>
      <c r="G24" s="328"/>
      <c r="H24" s="328"/>
      <c r="I24" s="328"/>
      <c r="J24" s="328">
        <v>233</v>
      </c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7"/>
      <c r="Y24" s="329">
        <f>J24*SQRT(((D24+E24+F24)/2)*(((D24+E24+F24)/2)-D24)*(((D24+E24+F24)/2)-E24)*(((D24+E24+F24)/2)-F24))</f>
        <v>400631.35098983144</v>
      </c>
      <c r="Z24" s="330" t="s">
        <v>116</v>
      </c>
      <c r="AA24" s="327" t="s">
        <v>22</v>
      </c>
      <c r="AB24" s="328">
        <f t="shared" si="3"/>
        <v>1</v>
      </c>
      <c r="AC24" s="331">
        <v>209</v>
      </c>
      <c r="AD24" s="332">
        <f>Y24*10</f>
        <v>4006313.5098983143</v>
      </c>
      <c r="AE24" s="333">
        <f t="shared" si="4"/>
        <v>837319523.56874764</v>
      </c>
      <c r="AF24" s="326">
        <v>4006314</v>
      </c>
      <c r="AG24" s="327">
        <f t="shared" si="5"/>
        <v>837319626</v>
      </c>
      <c r="AH24" s="331" t="s">
        <v>114</v>
      </c>
    </row>
    <row r="25" spans="2:34" ht="15.95" customHeight="1" thickBot="1" x14ac:dyDescent="0.3">
      <c r="B25" s="346" t="s">
        <v>98</v>
      </c>
      <c r="C25" s="347" t="s">
        <v>132</v>
      </c>
      <c r="D25" s="350"/>
      <c r="E25" s="351"/>
      <c r="F25" s="351"/>
      <c r="G25" s="351"/>
      <c r="H25" s="351"/>
      <c r="I25" s="351"/>
      <c r="J25" s="351">
        <v>166</v>
      </c>
      <c r="K25" s="351"/>
      <c r="L25" s="351"/>
      <c r="M25" s="351"/>
      <c r="N25" s="351"/>
      <c r="O25" s="351"/>
      <c r="P25" s="351"/>
      <c r="Q25" s="351"/>
      <c r="R25" s="351"/>
      <c r="S25" s="351"/>
      <c r="T25" s="351">
        <v>56</v>
      </c>
      <c r="U25" s="351">
        <v>189</v>
      </c>
      <c r="V25" s="351"/>
      <c r="W25" s="351"/>
      <c r="X25" s="350"/>
      <c r="Y25" s="352">
        <f>((PI()*J25)/3)*(T25^2+T25*U25+U25^2)*1000</f>
        <v>8594566025.3660259</v>
      </c>
      <c r="Z25" s="353" t="s">
        <v>118</v>
      </c>
      <c r="AA25" s="350" t="s">
        <v>21</v>
      </c>
      <c r="AB25" s="351">
        <f t="shared" si="3"/>
        <v>-1</v>
      </c>
      <c r="AC25" s="354">
        <v>4</v>
      </c>
      <c r="AD25" s="355">
        <f>Y25/1000*10</f>
        <v>85945660.253660247</v>
      </c>
      <c r="AE25" s="349">
        <f t="shared" si="4"/>
        <v>-343782641.01464099</v>
      </c>
      <c r="AF25" s="347">
        <v>85945660</v>
      </c>
      <c r="AG25" s="350">
        <f t="shared" si="5"/>
        <v>-343782640</v>
      </c>
      <c r="AH25" s="354" t="s">
        <v>114</v>
      </c>
    </row>
    <row r="26" spans="2:34" ht="15.75" thickBot="1" x14ac:dyDescent="0.3">
      <c r="B26" s="519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1"/>
      <c r="Y26" s="520"/>
      <c r="Z26" s="520"/>
      <c r="AA26" s="520"/>
      <c r="AB26" s="520"/>
      <c r="AC26" s="520"/>
      <c r="AD26" s="520"/>
      <c r="AE26" s="520"/>
      <c r="AF26" s="520"/>
      <c r="AG26" s="520"/>
      <c r="AH26" s="521"/>
    </row>
    <row r="27" spans="2:34" ht="16.5" thickTop="1" thickBot="1" x14ac:dyDescent="0.3">
      <c r="B27" s="519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1"/>
      <c r="Y27" s="1022" t="s">
        <v>15</v>
      </c>
      <c r="Z27" s="1023"/>
      <c r="AA27" s="1023"/>
      <c r="AB27" s="1023"/>
      <c r="AC27" s="1024"/>
      <c r="AD27" s="522">
        <f>SUM(AE20:AE25)</f>
        <v>2107149.2377697825</v>
      </c>
      <c r="AE27" s="523">
        <f>SUM(AE20:AE25)</f>
        <v>2107149.2377697825</v>
      </c>
      <c r="AF27" s="523">
        <f>SUM(AG20:AG25)</f>
        <v>2107236</v>
      </c>
      <c r="AG27" s="524">
        <f>SUM(AG20:AG26)</f>
        <v>2107236</v>
      </c>
      <c r="AH27" s="523" t="s">
        <v>114</v>
      </c>
    </row>
    <row r="28" spans="2:34" ht="16.5" thickBot="1" x14ac:dyDescent="0.3">
      <c r="B28" s="525"/>
      <c r="C28" s="526"/>
      <c r="D28" s="526"/>
      <c r="E28" s="526"/>
      <c r="F28" s="526"/>
      <c r="G28" s="526"/>
      <c r="H28" s="526"/>
      <c r="I28" s="526"/>
      <c r="J28" s="526"/>
      <c r="K28" s="526"/>
      <c r="L28" s="526"/>
      <c r="M28" s="526"/>
      <c r="N28" s="526"/>
      <c r="O28" s="526"/>
      <c r="P28" s="526"/>
      <c r="Q28" s="526"/>
      <c r="R28" s="526"/>
      <c r="S28" s="526"/>
      <c r="T28" s="526"/>
      <c r="U28" s="526"/>
      <c r="V28" s="526"/>
      <c r="W28" s="526"/>
      <c r="X28" s="527"/>
      <c r="Y28" s="1025" t="s">
        <v>26</v>
      </c>
      <c r="Z28" s="1026"/>
      <c r="AA28" s="1026"/>
      <c r="AB28" s="1026"/>
      <c r="AC28" s="1027"/>
      <c r="AD28" s="528">
        <f xml:space="preserve"> (AD27-AF27)/AD27</f>
        <v>-4.1175171014126367E-5</v>
      </c>
      <c r="AE28" s="526"/>
      <c r="AF28" s="526"/>
      <c r="AG28" s="526"/>
      <c r="AH28" s="527"/>
    </row>
    <row r="29" spans="2:34" ht="15.75" thickTop="1" x14ac:dyDescent="0.25"/>
    <row r="31" spans="2:34" ht="15.75" thickBot="1" x14ac:dyDescent="0.3"/>
    <row r="32" spans="2:34" ht="20.25" thickTop="1" thickBot="1" x14ac:dyDescent="0.3">
      <c r="B32" s="583" t="s">
        <v>121</v>
      </c>
      <c r="C32" s="584" t="s">
        <v>126</v>
      </c>
      <c r="D32" s="1010" t="s">
        <v>28</v>
      </c>
      <c r="E32" s="1010"/>
      <c r="F32" s="1010"/>
      <c r="G32" s="1010"/>
      <c r="H32" s="1010"/>
      <c r="I32" s="1010"/>
      <c r="J32" s="1010"/>
      <c r="K32" s="1010"/>
      <c r="L32" s="1010"/>
      <c r="M32" s="1010"/>
      <c r="N32" s="1010"/>
      <c r="O32" s="1010"/>
      <c r="P32" s="1010"/>
      <c r="Q32" s="1010"/>
      <c r="R32" s="1010"/>
      <c r="S32" s="1010"/>
      <c r="T32" s="1010"/>
      <c r="U32" s="1010"/>
      <c r="V32" s="1010"/>
      <c r="W32" s="1010"/>
      <c r="X32" s="1011"/>
      <c r="Y32" s="1012" t="s">
        <v>13</v>
      </c>
      <c r="Z32" s="1011"/>
      <c r="AA32" s="1019"/>
      <c r="AB32" s="1020"/>
      <c r="AC32" s="1021"/>
      <c r="AD32" s="1012" t="s">
        <v>14</v>
      </c>
      <c r="AE32" s="1010"/>
      <c r="AF32" s="1010"/>
      <c r="AG32" s="1010"/>
      <c r="AH32" s="1011"/>
    </row>
    <row r="33" spans="2:34" ht="48" customHeight="1" thickBot="1" x14ac:dyDescent="0.3">
      <c r="B33" s="585"/>
      <c r="C33" s="586" t="s">
        <v>57</v>
      </c>
      <c r="D33" s="587" t="s">
        <v>59</v>
      </c>
      <c r="E33" s="588" t="s">
        <v>60</v>
      </c>
      <c r="F33" s="588" t="s">
        <v>61</v>
      </c>
      <c r="G33" s="588" t="s">
        <v>62</v>
      </c>
      <c r="H33" s="588" t="s">
        <v>63</v>
      </c>
      <c r="I33" s="588" t="s">
        <v>64</v>
      </c>
      <c r="J33" s="588" t="s">
        <v>41</v>
      </c>
      <c r="K33" s="588" t="s">
        <v>65</v>
      </c>
      <c r="L33" s="589" t="s">
        <v>66</v>
      </c>
      <c r="M33" s="588" t="s">
        <v>44</v>
      </c>
      <c r="N33" s="589" t="s">
        <v>67</v>
      </c>
      <c r="O33" s="589" t="s">
        <v>68</v>
      </c>
      <c r="P33" s="589" t="s">
        <v>69</v>
      </c>
      <c r="Q33" s="589" t="s">
        <v>70</v>
      </c>
      <c r="R33" s="589" t="s">
        <v>71</v>
      </c>
      <c r="S33" s="589" t="s">
        <v>131</v>
      </c>
      <c r="T33" s="589" t="s">
        <v>72</v>
      </c>
      <c r="U33" s="589" t="s">
        <v>73</v>
      </c>
      <c r="V33" s="589" t="s">
        <v>150</v>
      </c>
      <c r="W33" s="589" t="s">
        <v>36</v>
      </c>
      <c r="X33" s="590" t="s">
        <v>74</v>
      </c>
      <c r="Y33" s="591" t="s">
        <v>24</v>
      </c>
      <c r="Z33" s="592" t="s">
        <v>12</v>
      </c>
      <c r="AA33" s="593" t="s">
        <v>9</v>
      </c>
      <c r="AB33" s="594"/>
      <c r="AC33" s="595" t="s">
        <v>10</v>
      </c>
      <c r="AD33" s="591" t="s">
        <v>11</v>
      </c>
      <c r="AE33" s="596"/>
      <c r="AF33" s="586" t="s">
        <v>151</v>
      </c>
      <c r="AG33" s="597"/>
      <c r="AH33" s="595" t="s">
        <v>12</v>
      </c>
    </row>
    <row r="34" spans="2:34" ht="15.95" customHeight="1" x14ac:dyDescent="0.25">
      <c r="B34" s="598" t="s">
        <v>133</v>
      </c>
      <c r="C34" s="599" t="s">
        <v>134</v>
      </c>
      <c r="D34" s="600"/>
      <c r="E34" s="601"/>
      <c r="F34" s="601"/>
      <c r="G34" s="601"/>
      <c r="H34" s="601"/>
      <c r="I34" s="601"/>
      <c r="J34" s="601">
        <v>17</v>
      </c>
      <c r="K34" s="601"/>
      <c r="L34" s="601">
        <v>9</v>
      </c>
      <c r="M34" s="601"/>
      <c r="N34" s="601"/>
      <c r="O34" s="601"/>
      <c r="P34" s="601"/>
      <c r="Q34" s="601"/>
      <c r="R34" s="601"/>
      <c r="S34" s="601"/>
      <c r="T34" s="601">
        <f>W34/2</f>
        <v>33.5</v>
      </c>
      <c r="U34" s="601">
        <f>SQRT(T34^2-(T34-L34)^2)</f>
        <v>22.847319317591726</v>
      </c>
      <c r="V34" s="601">
        <f>SQRT(T34^2-(T34-L34-J34)^2)</f>
        <v>32.649655434629018</v>
      </c>
      <c r="W34" s="601">
        <v>67</v>
      </c>
      <c r="X34" s="600"/>
      <c r="Y34" s="602">
        <f>(((PI()*J34)/6)*(3*U34^2+3*V34^2+J34^2))*100000</f>
        <v>4497765842.2669487</v>
      </c>
      <c r="Z34" s="603" t="s">
        <v>113</v>
      </c>
      <c r="AA34" s="600" t="s">
        <v>22</v>
      </c>
      <c r="AB34" s="601">
        <f t="shared" ref="AB34:AB39" si="6">IF(AA34="PLUS",1,IF(AA34="MINUS",-1,0))</f>
        <v>1</v>
      </c>
      <c r="AC34" s="604">
        <v>4</v>
      </c>
      <c r="AD34" s="605">
        <f>Y34/100000*10000</f>
        <v>449776584.22669488</v>
      </c>
      <c r="AE34" s="606">
        <f t="shared" ref="AE34:AE39" si="7">AB34*AC34*AD34</f>
        <v>1799106336.9067795</v>
      </c>
      <c r="AF34" s="599">
        <v>449776584</v>
      </c>
      <c r="AG34" s="600">
        <f t="shared" ref="AG34:AG39" si="8">AB34*AC34*AF34</f>
        <v>1799106336</v>
      </c>
      <c r="AH34" s="604" t="s">
        <v>115</v>
      </c>
    </row>
    <row r="35" spans="2:34" ht="15.95" customHeight="1" x14ac:dyDescent="0.25">
      <c r="B35" s="443" t="s">
        <v>102</v>
      </c>
      <c r="C35" s="444" t="s">
        <v>135</v>
      </c>
      <c r="D35" s="445">
        <v>49</v>
      </c>
      <c r="E35" s="446">
        <v>90</v>
      </c>
      <c r="F35" s="446">
        <v>30</v>
      </c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5"/>
      <c r="Y35" s="447">
        <f>D35*E35*F35*10</f>
        <v>1323000</v>
      </c>
      <c r="Z35" s="448" t="s">
        <v>114</v>
      </c>
      <c r="AA35" s="445" t="s">
        <v>22</v>
      </c>
      <c r="AB35" s="446">
        <f t="shared" si="6"/>
        <v>1</v>
      </c>
      <c r="AC35" s="449">
        <v>19</v>
      </c>
      <c r="AD35" s="450">
        <f>Y35*1000</f>
        <v>1323000000</v>
      </c>
      <c r="AE35" s="451">
        <f t="shared" si="7"/>
        <v>25137000000</v>
      </c>
      <c r="AF35" s="444">
        <v>1323000000</v>
      </c>
      <c r="AG35" s="445">
        <f t="shared" si="8"/>
        <v>25137000000</v>
      </c>
      <c r="AH35" s="449" t="s">
        <v>115</v>
      </c>
    </row>
    <row r="36" spans="2:34" ht="15.95" customHeight="1" x14ac:dyDescent="0.25">
      <c r="B36" s="443" t="s">
        <v>94</v>
      </c>
      <c r="C36" s="444" t="s">
        <v>127</v>
      </c>
      <c r="D36" s="445">
        <v>340</v>
      </c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5"/>
      <c r="Y36" s="447">
        <f>D36^3*10000</f>
        <v>393040000000</v>
      </c>
      <c r="Z36" s="448" t="s">
        <v>115</v>
      </c>
      <c r="AA36" s="445" t="s">
        <v>80</v>
      </c>
      <c r="AB36" s="446">
        <f t="shared" si="6"/>
        <v>0</v>
      </c>
      <c r="AC36" s="449">
        <v>36</v>
      </c>
      <c r="AD36" s="450">
        <f>Y36</f>
        <v>393040000000</v>
      </c>
      <c r="AE36" s="451">
        <f t="shared" si="7"/>
        <v>0</v>
      </c>
      <c r="AF36" s="444">
        <v>393040000000</v>
      </c>
      <c r="AG36" s="445">
        <f t="shared" si="8"/>
        <v>0</v>
      </c>
      <c r="AH36" s="449" t="s">
        <v>115</v>
      </c>
    </row>
    <row r="37" spans="2:34" ht="15.95" customHeight="1" x14ac:dyDescent="0.25">
      <c r="B37" s="443" t="s">
        <v>98</v>
      </c>
      <c r="C37" s="444" t="s">
        <v>100</v>
      </c>
      <c r="D37" s="445">
        <v>700</v>
      </c>
      <c r="E37" s="446"/>
      <c r="F37" s="446"/>
      <c r="G37" s="446"/>
      <c r="H37" s="446"/>
      <c r="I37" s="446"/>
      <c r="J37" s="446">
        <f>SQRT(D37^2-(U37-T37)^2)</f>
        <v>687.24886322204998</v>
      </c>
      <c r="K37" s="446"/>
      <c r="L37" s="446"/>
      <c r="M37" s="446"/>
      <c r="N37" s="446"/>
      <c r="O37" s="446"/>
      <c r="P37" s="446">
        <v>56</v>
      </c>
      <c r="Q37" s="446">
        <v>189</v>
      </c>
      <c r="R37" s="446"/>
      <c r="S37" s="446"/>
      <c r="T37" s="446">
        <v>56</v>
      </c>
      <c r="U37" s="446">
        <v>189</v>
      </c>
      <c r="V37" s="446"/>
      <c r="W37" s="446"/>
      <c r="X37" s="445"/>
      <c r="Y37" s="447">
        <f>((PI()*J37)/3)*(T37^2+T37*U37+U37^2)*1000000</f>
        <v>35581962233853.328</v>
      </c>
      <c r="Z37" s="448" t="s">
        <v>117</v>
      </c>
      <c r="AA37" s="445" t="s">
        <v>22</v>
      </c>
      <c r="AB37" s="446">
        <f t="shared" si="6"/>
        <v>1</v>
      </c>
      <c r="AC37" s="449">
        <v>26</v>
      </c>
      <c r="AD37" s="450">
        <f>Y37/1000000*10000</f>
        <v>355819622338.53326</v>
      </c>
      <c r="AE37" s="451">
        <f t="shared" si="7"/>
        <v>9251310180801.8652</v>
      </c>
      <c r="AF37" s="444">
        <v>355819622339</v>
      </c>
      <c r="AG37" s="445">
        <f t="shared" si="8"/>
        <v>9251310180814</v>
      </c>
      <c r="AH37" s="449" t="s">
        <v>115</v>
      </c>
    </row>
    <row r="38" spans="2:34" ht="15.95" customHeight="1" x14ac:dyDescent="0.25">
      <c r="B38" s="443" t="s">
        <v>129</v>
      </c>
      <c r="C38" s="444" t="s">
        <v>124</v>
      </c>
      <c r="D38" s="445"/>
      <c r="E38" s="446"/>
      <c r="F38" s="446"/>
      <c r="G38" s="446"/>
      <c r="H38" s="446"/>
      <c r="I38" s="446"/>
      <c r="J38" s="446">
        <v>76</v>
      </c>
      <c r="K38" s="446"/>
      <c r="L38" s="446"/>
      <c r="M38" s="446"/>
      <c r="N38" s="446"/>
      <c r="O38" s="446"/>
      <c r="P38" s="446"/>
      <c r="Q38" s="446"/>
      <c r="R38" s="446"/>
      <c r="S38" s="446"/>
      <c r="T38" s="446">
        <v>177</v>
      </c>
      <c r="U38" s="446">
        <f>SQRT(T38^2-(T38-J38)^2)</f>
        <v>145.35473848485299</v>
      </c>
      <c r="V38" s="446"/>
      <c r="W38" s="446"/>
      <c r="X38" s="445"/>
      <c r="Y38" s="447">
        <f>(((PI()*J38)/6)*(3*U38^2+J38^2))</f>
        <v>2752118.9403487551</v>
      </c>
      <c r="Z38" s="448" t="s">
        <v>116</v>
      </c>
      <c r="AA38" s="445" t="s">
        <v>21</v>
      </c>
      <c r="AB38" s="446">
        <f t="shared" si="6"/>
        <v>-1</v>
      </c>
      <c r="AC38" s="449">
        <v>67</v>
      </c>
      <c r="AD38" s="450">
        <f>Y38*10000</f>
        <v>27521189403.487553</v>
      </c>
      <c r="AE38" s="451">
        <f t="shared" si="7"/>
        <v>-1843919690033.666</v>
      </c>
      <c r="AF38" s="444">
        <v>27521189403</v>
      </c>
      <c r="AG38" s="445">
        <f t="shared" si="8"/>
        <v>-1843919690001</v>
      </c>
      <c r="AH38" s="449" t="s">
        <v>115</v>
      </c>
    </row>
    <row r="39" spans="2:34" ht="15.95" customHeight="1" thickBot="1" x14ac:dyDescent="0.3">
      <c r="B39" s="607" t="s">
        <v>75</v>
      </c>
      <c r="C39" s="608" t="s">
        <v>77</v>
      </c>
      <c r="D39" s="609">
        <v>144</v>
      </c>
      <c r="E39" s="610">
        <v>177</v>
      </c>
      <c r="F39" s="610">
        <v>56</v>
      </c>
      <c r="G39" s="610"/>
      <c r="H39" s="610"/>
      <c r="I39" s="610"/>
      <c r="J39" s="610">
        <v>677</v>
      </c>
      <c r="K39" s="610"/>
      <c r="L39" s="610"/>
      <c r="M39" s="610"/>
      <c r="N39" s="610"/>
      <c r="O39" s="610"/>
      <c r="P39" s="610"/>
      <c r="Q39" s="610"/>
      <c r="R39" s="610"/>
      <c r="S39" s="610"/>
      <c r="T39" s="610"/>
      <c r="U39" s="610"/>
      <c r="V39" s="610"/>
      <c r="W39" s="610"/>
      <c r="X39" s="609"/>
      <c r="Y39" s="611">
        <f>J39*SQRT(((D39+E39+F39)/2)*(((D39+E39+F39)/2)-D39)*(((D39+E39+F39)/2)-E39)*(((D39+E39+F39)/2)-F39))*1000</f>
        <v>2420366931.7767577</v>
      </c>
      <c r="Z39" s="612" t="s">
        <v>118</v>
      </c>
      <c r="AA39" s="609" t="s">
        <v>21</v>
      </c>
      <c r="AB39" s="610">
        <f t="shared" si="6"/>
        <v>-1</v>
      </c>
      <c r="AC39" s="613">
        <v>27</v>
      </c>
      <c r="AD39" s="614">
        <f>Y39/1000*10000</f>
        <v>24203669317.767578</v>
      </c>
      <c r="AE39" s="615">
        <f t="shared" si="7"/>
        <v>-653499071579.72461</v>
      </c>
      <c r="AF39" s="608">
        <v>24203669318</v>
      </c>
      <c r="AG39" s="609">
        <f t="shared" si="8"/>
        <v>-653499071586</v>
      </c>
      <c r="AH39" s="613" t="s">
        <v>115</v>
      </c>
    </row>
    <row r="40" spans="2:34" ht="15.75" thickBot="1" x14ac:dyDescent="0.3">
      <c r="B40" s="616"/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  <c r="T40" s="617"/>
      <c r="U40" s="617"/>
      <c r="V40" s="617"/>
      <c r="W40" s="617"/>
      <c r="X40" s="618"/>
      <c r="Y40" s="617"/>
      <c r="Z40" s="617"/>
      <c r="AA40" s="617"/>
      <c r="AB40" s="617"/>
      <c r="AC40" s="617"/>
      <c r="AD40" s="617"/>
      <c r="AE40" s="617"/>
      <c r="AF40" s="617"/>
      <c r="AG40" s="617"/>
      <c r="AH40" s="618"/>
    </row>
    <row r="41" spans="2:34" ht="16.5" thickTop="1" thickBot="1" x14ac:dyDescent="0.3">
      <c r="B41" s="616"/>
      <c r="C41" s="617"/>
      <c r="D41" s="617"/>
      <c r="E41" s="617"/>
      <c r="F41" s="617"/>
      <c r="G41" s="617"/>
      <c r="H41" s="617"/>
      <c r="I41" s="617"/>
      <c r="J41" s="617"/>
      <c r="K41" s="617"/>
      <c r="L41" s="617"/>
      <c r="M41" s="617"/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8"/>
      <c r="Y41" s="1013" t="s">
        <v>15</v>
      </c>
      <c r="Z41" s="1014"/>
      <c r="AA41" s="1014"/>
      <c r="AB41" s="1014"/>
      <c r="AC41" s="1015"/>
      <c r="AD41" s="619">
        <f>SUM(AE34:AE39)</f>
        <v>6780827525525.3809</v>
      </c>
      <c r="AE41" s="620">
        <f>SUM(AE34:AE39)</f>
        <v>6780827525525.3809</v>
      </c>
      <c r="AF41" s="620">
        <f>SUM(AG34:AG39)</f>
        <v>6780827525563</v>
      </c>
      <c r="AG41" s="621">
        <f>SUM(AG34:AG40)</f>
        <v>6780827525563</v>
      </c>
      <c r="AH41" s="620" t="s">
        <v>115</v>
      </c>
    </row>
    <row r="42" spans="2:34" ht="16.5" thickBot="1" x14ac:dyDescent="0.3">
      <c r="B42" s="622"/>
      <c r="C42" s="623"/>
      <c r="D42" s="623"/>
      <c r="E42" s="623"/>
      <c r="F42" s="623"/>
      <c r="G42" s="623"/>
      <c r="H42" s="623"/>
      <c r="I42" s="623"/>
      <c r="J42" s="623"/>
      <c r="K42" s="623"/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4"/>
      <c r="Y42" s="1016" t="s">
        <v>26</v>
      </c>
      <c r="Z42" s="1017"/>
      <c r="AA42" s="1017"/>
      <c r="AB42" s="1017"/>
      <c r="AC42" s="1018"/>
      <c r="AD42" s="625">
        <f xml:space="preserve"> (AD41-AF41)/AD41</f>
        <v>-5.5478686758199552E-12</v>
      </c>
      <c r="AE42" s="623"/>
      <c r="AF42" s="623"/>
      <c r="AG42" s="623"/>
      <c r="AH42" s="624"/>
    </row>
    <row r="43" spans="2:34" ht="15.75" thickTop="1" x14ac:dyDescent="0.25"/>
    <row r="45" spans="2:34" ht="15.75" thickBot="1" x14ac:dyDescent="0.3"/>
    <row r="46" spans="2:34" ht="20.25" thickTop="1" thickBot="1" x14ac:dyDescent="0.3">
      <c r="B46" s="454" t="s">
        <v>121</v>
      </c>
      <c r="C46" s="455" t="s">
        <v>126</v>
      </c>
      <c r="D46" s="998" t="s">
        <v>28</v>
      </c>
      <c r="E46" s="998"/>
      <c r="F46" s="998"/>
      <c r="G46" s="998"/>
      <c r="H46" s="998"/>
      <c r="I46" s="998"/>
      <c r="J46" s="998"/>
      <c r="K46" s="998"/>
      <c r="L46" s="998"/>
      <c r="M46" s="998"/>
      <c r="N46" s="998"/>
      <c r="O46" s="998"/>
      <c r="P46" s="998"/>
      <c r="Q46" s="998"/>
      <c r="R46" s="998"/>
      <c r="S46" s="998"/>
      <c r="T46" s="998"/>
      <c r="U46" s="998"/>
      <c r="V46" s="998"/>
      <c r="W46" s="998"/>
      <c r="X46" s="999"/>
      <c r="Y46" s="1000" t="s">
        <v>13</v>
      </c>
      <c r="Z46" s="999"/>
      <c r="AA46" s="1007"/>
      <c r="AB46" s="1008"/>
      <c r="AC46" s="1009"/>
      <c r="AD46" s="1000" t="s">
        <v>14</v>
      </c>
      <c r="AE46" s="998"/>
      <c r="AF46" s="998"/>
      <c r="AG46" s="998"/>
      <c r="AH46" s="999"/>
    </row>
    <row r="47" spans="2:34" ht="48" customHeight="1" thickBot="1" x14ac:dyDescent="0.3">
      <c r="B47" s="456"/>
      <c r="C47" s="457" t="s">
        <v>57</v>
      </c>
      <c r="D47" s="458" t="s">
        <v>59</v>
      </c>
      <c r="E47" s="459" t="s">
        <v>60</v>
      </c>
      <c r="F47" s="459" t="s">
        <v>61</v>
      </c>
      <c r="G47" s="459" t="s">
        <v>62</v>
      </c>
      <c r="H47" s="459" t="s">
        <v>63</v>
      </c>
      <c r="I47" s="459" t="s">
        <v>64</v>
      </c>
      <c r="J47" s="459" t="s">
        <v>41</v>
      </c>
      <c r="K47" s="459" t="s">
        <v>65</v>
      </c>
      <c r="L47" s="460" t="s">
        <v>66</v>
      </c>
      <c r="M47" s="459" t="s">
        <v>44</v>
      </c>
      <c r="N47" s="460" t="s">
        <v>67</v>
      </c>
      <c r="O47" s="460" t="s">
        <v>68</v>
      </c>
      <c r="P47" s="460" t="s">
        <v>69</v>
      </c>
      <c r="Q47" s="460" t="s">
        <v>70</v>
      </c>
      <c r="R47" s="460" t="s">
        <v>71</v>
      </c>
      <c r="S47" s="460" t="s">
        <v>131</v>
      </c>
      <c r="T47" s="460" t="s">
        <v>72</v>
      </c>
      <c r="U47" s="460" t="s">
        <v>73</v>
      </c>
      <c r="V47" s="460" t="s">
        <v>150</v>
      </c>
      <c r="W47" s="460" t="s">
        <v>36</v>
      </c>
      <c r="X47" s="461" t="s">
        <v>74</v>
      </c>
      <c r="Y47" s="462" t="s">
        <v>24</v>
      </c>
      <c r="Z47" s="463" t="s">
        <v>12</v>
      </c>
      <c r="AA47" s="464" t="s">
        <v>9</v>
      </c>
      <c r="AB47" s="465"/>
      <c r="AC47" s="466" t="s">
        <v>10</v>
      </c>
      <c r="AD47" s="462" t="s">
        <v>11</v>
      </c>
      <c r="AE47" s="467"/>
      <c r="AF47" s="457" t="s">
        <v>151</v>
      </c>
      <c r="AG47" s="468"/>
      <c r="AH47" s="466" t="s">
        <v>12</v>
      </c>
    </row>
    <row r="48" spans="2:34" ht="15.95" customHeight="1" x14ac:dyDescent="0.25">
      <c r="B48" s="469" t="s">
        <v>102</v>
      </c>
      <c r="C48" s="470" t="s">
        <v>135</v>
      </c>
      <c r="D48" s="472">
        <v>78</v>
      </c>
      <c r="E48" s="471">
        <v>35</v>
      </c>
      <c r="F48" s="471">
        <v>15</v>
      </c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2"/>
      <c r="Y48" s="634">
        <f>D48*E48*F48*100000</f>
        <v>4095000000</v>
      </c>
      <c r="Z48" s="473" t="s">
        <v>113</v>
      </c>
      <c r="AA48" s="472" t="s">
        <v>22</v>
      </c>
      <c r="AB48" s="471">
        <f t="shared" ref="AB48:AB53" si="9">IF(AA48="PLUS",1,IF(AA48="MINUS",-1,0))</f>
        <v>1</v>
      </c>
      <c r="AC48" s="474">
        <v>90</v>
      </c>
      <c r="AD48" s="635">
        <f>Y48*1000000/100000</f>
        <v>40950000000</v>
      </c>
      <c r="AE48" s="475">
        <f t="shared" ref="AE48:AE53" si="10">AB48*AC48*AD48</f>
        <v>3685500000000</v>
      </c>
      <c r="AF48" s="470">
        <v>40950000000</v>
      </c>
      <c r="AG48" s="472">
        <f t="shared" ref="AG48:AG53" si="11">AB48*AC48*AF48</f>
        <v>3685500000000</v>
      </c>
      <c r="AH48" s="474" t="s">
        <v>117</v>
      </c>
    </row>
    <row r="49" spans="2:34" ht="15.95" customHeight="1" x14ac:dyDescent="0.25">
      <c r="B49" s="476" t="s">
        <v>106</v>
      </c>
      <c r="C49" s="477" t="s">
        <v>107</v>
      </c>
      <c r="D49" s="478"/>
      <c r="E49" s="479"/>
      <c r="F49" s="479"/>
      <c r="G49" s="479"/>
      <c r="H49" s="479"/>
      <c r="I49" s="479"/>
      <c r="J49" s="479">
        <v>433</v>
      </c>
      <c r="K49" s="479"/>
      <c r="L49" s="479"/>
      <c r="M49" s="479"/>
      <c r="N49" s="479"/>
      <c r="O49" s="479"/>
      <c r="P49" s="479"/>
      <c r="Q49" s="479"/>
      <c r="R49" s="479"/>
      <c r="S49" s="479"/>
      <c r="T49" s="479">
        <f>W49/2</f>
        <v>39</v>
      </c>
      <c r="U49" s="479"/>
      <c r="V49" s="479"/>
      <c r="W49" s="479">
        <v>78</v>
      </c>
      <c r="X49" s="478"/>
      <c r="Y49" s="480">
        <f>PI()*T49^2*J49*10</f>
        <v>20690309.305056624</v>
      </c>
      <c r="Z49" s="481" t="s">
        <v>114</v>
      </c>
      <c r="AA49" s="478" t="s">
        <v>22</v>
      </c>
      <c r="AB49" s="479">
        <f t="shared" si="9"/>
        <v>1</v>
      </c>
      <c r="AC49" s="482">
        <v>13</v>
      </c>
      <c r="AD49" s="483">
        <f>Y49/10*1000000</f>
        <v>2069030930505.6624</v>
      </c>
      <c r="AE49" s="484">
        <f t="shared" si="10"/>
        <v>26897402096573.609</v>
      </c>
      <c r="AF49" s="477">
        <v>2069030930506</v>
      </c>
      <c r="AG49" s="478">
        <f t="shared" si="11"/>
        <v>26897402096578</v>
      </c>
      <c r="AH49" s="482" t="s">
        <v>117</v>
      </c>
    </row>
    <row r="50" spans="2:34" ht="15.95" customHeight="1" x14ac:dyDescent="0.25">
      <c r="B50" s="476" t="s">
        <v>119</v>
      </c>
      <c r="C50" s="477" t="s">
        <v>136</v>
      </c>
      <c r="D50" s="478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479"/>
      <c r="T50" s="479">
        <v>488</v>
      </c>
      <c r="U50" s="479"/>
      <c r="V50" s="479"/>
      <c r="W50" s="479"/>
      <c r="X50" s="478"/>
      <c r="Y50" s="480">
        <f>(4/3)*PI()*T50^3*10000</f>
        <v>4867972042099.8125</v>
      </c>
      <c r="Z50" s="481" t="s">
        <v>115</v>
      </c>
      <c r="AA50" s="478" t="s">
        <v>80</v>
      </c>
      <c r="AB50" s="479">
        <f t="shared" si="9"/>
        <v>0</v>
      </c>
      <c r="AC50" s="482">
        <v>56</v>
      </c>
      <c r="AD50" s="483">
        <f>Y50*1000000/10000</f>
        <v>486797204209981.25</v>
      </c>
      <c r="AE50" s="484">
        <f t="shared" si="10"/>
        <v>0</v>
      </c>
      <c r="AF50" s="477">
        <v>486797204209981</v>
      </c>
      <c r="AG50" s="478">
        <f t="shared" si="11"/>
        <v>0</v>
      </c>
      <c r="AH50" s="482" t="s">
        <v>117</v>
      </c>
    </row>
    <row r="51" spans="2:34" ht="15.95" customHeight="1" x14ac:dyDescent="0.25">
      <c r="B51" s="476" t="s">
        <v>94</v>
      </c>
      <c r="C51" s="477" t="s">
        <v>127</v>
      </c>
      <c r="D51" s="478">
        <v>895</v>
      </c>
      <c r="E51" s="479"/>
      <c r="F51" s="479"/>
      <c r="G51" s="479"/>
      <c r="H51" s="479"/>
      <c r="I51" s="479"/>
      <c r="J51" s="479"/>
      <c r="K51" s="479"/>
      <c r="L51" s="479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8"/>
      <c r="Y51" s="480">
        <f>D51^3*1000000</f>
        <v>716917375000000</v>
      </c>
      <c r="Z51" s="481" t="s">
        <v>117</v>
      </c>
      <c r="AA51" s="478" t="s">
        <v>80</v>
      </c>
      <c r="AB51" s="479">
        <f t="shared" si="9"/>
        <v>0</v>
      </c>
      <c r="AC51" s="482">
        <v>7</v>
      </c>
      <c r="AD51" s="483">
        <f>Y51</f>
        <v>716917375000000</v>
      </c>
      <c r="AE51" s="484">
        <f t="shared" si="10"/>
        <v>0</v>
      </c>
      <c r="AF51" s="477">
        <v>716917375000000</v>
      </c>
      <c r="AG51" s="478">
        <f t="shared" si="11"/>
        <v>0</v>
      </c>
      <c r="AH51" s="482" t="s">
        <v>117</v>
      </c>
    </row>
    <row r="52" spans="2:34" ht="15.95" customHeight="1" x14ac:dyDescent="0.25">
      <c r="B52" s="476" t="s">
        <v>83</v>
      </c>
      <c r="C52" s="477" t="s">
        <v>130</v>
      </c>
      <c r="D52" s="478">
        <f>(2*SIN(((2*PI())/X52)/2)*S52)</f>
        <v>3.8739727572170501</v>
      </c>
      <c r="E52" s="479"/>
      <c r="F52" s="479"/>
      <c r="G52" s="479"/>
      <c r="H52" s="479"/>
      <c r="I52" s="479"/>
      <c r="J52" s="479">
        <v>89</v>
      </c>
      <c r="K52" s="479"/>
      <c r="L52" s="479"/>
      <c r="M52" s="479"/>
      <c r="N52" s="479"/>
      <c r="O52" s="479"/>
      <c r="P52" s="479"/>
      <c r="Q52" s="479"/>
      <c r="R52" s="479">
        <f>COS(((2*PI())/2)/X52)*S52</f>
        <v>28.935239480071441</v>
      </c>
      <c r="S52" s="479">
        <v>29</v>
      </c>
      <c r="T52" s="479"/>
      <c r="U52" s="479"/>
      <c r="V52" s="479"/>
      <c r="W52" s="479"/>
      <c r="X52" s="478">
        <v>47</v>
      </c>
      <c r="Y52" s="480">
        <f>((D52*X52*J52*R52)/2)</f>
        <v>234445.29008514137</v>
      </c>
      <c r="Z52" s="481" t="s">
        <v>116</v>
      </c>
      <c r="AA52" s="478" t="s">
        <v>22</v>
      </c>
      <c r="AB52" s="479">
        <f t="shared" si="9"/>
        <v>1</v>
      </c>
      <c r="AC52" s="482">
        <v>14</v>
      </c>
      <c r="AD52" s="483">
        <f>Y52*1000000</f>
        <v>234445290085.14136</v>
      </c>
      <c r="AE52" s="484">
        <f t="shared" si="10"/>
        <v>3282234061191.979</v>
      </c>
      <c r="AF52" s="477">
        <v>234445290085</v>
      </c>
      <c r="AG52" s="478">
        <f t="shared" si="11"/>
        <v>3282234061190</v>
      </c>
      <c r="AH52" s="482" t="s">
        <v>117</v>
      </c>
    </row>
    <row r="53" spans="2:34" ht="15.95" customHeight="1" thickBot="1" x14ac:dyDescent="0.3">
      <c r="B53" s="485" t="s">
        <v>129</v>
      </c>
      <c r="C53" s="486" t="s">
        <v>107</v>
      </c>
      <c r="D53" s="487"/>
      <c r="E53" s="488"/>
      <c r="F53" s="488"/>
      <c r="G53" s="488"/>
      <c r="H53" s="488"/>
      <c r="I53" s="488"/>
      <c r="J53" s="488">
        <v>66</v>
      </c>
      <c r="K53" s="488"/>
      <c r="L53" s="488"/>
      <c r="M53" s="488"/>
      <c r="N53" s="488"/>
      <c r="O53" s="488"/>
      <c r="P53" s="488"/>
      <c r="Q53" s="488"/>
      <c r="R53" s="488"/>
      <c r="S53" s="488"/>
      <c r="T53" s="488">
        <f>W53/2</f>
        <v>116.5</v>
      </c>
      <c r="U53" s="488">
        <f>SQRT(T53^2-(T53-J53)^2)</f>
        <v>104.98571331376475</v>
      </c>
      <c r="V53" s="488"/>
      <c r="W53" s="488">
        <v>233</v>
      </c>
      <c r="X53" s="487"/>
      <c r="Y53" s="489">
        <f>(((PI()*J53)/6)*(3*U53^2+J53^2))*1000</f>
        <v>1293211483.1090097</v>
      </c>
      <c r="Z53" s="490" t="s">
        <v>118</v>
      </c>
      <c r="AA53" s="487" t="s">
        <v>21</v>
      </c>
      <c r="AB53" s="488">
        <f t="shared" si="9"/>
        <v>-1</v>
      </c>
      <c r="AC53" s="491">
        <v>24</v>
      </c>
      <c r="AD53" s="492">
        <f>Y53/1000*1000000</f>
        <v>1293211483109.0098</v>
      </c>
      <c r="AE53" s="493">
        <f t="shared" si="10"/>
        <v>-31037075594616.234</v>
      </c>
      <c r="AF53" s="486">
        <v>1293211483109</v>
      </c>
      <c r="AG53" s="487">
        <f t="shared" si="11"/>
        <v>-31037075594616</v>
      </c>
      <c r="AH53" s="491" t="s">
        <v>117</v>
      </c>
    </row>
    <row r="54" spans="2:34" ht="15.75" thickBot="1" x14ac:dyDescent="0.3">
      <c r="B54" s="494"/>
      <c r="C54" s="495"/>
      <c r="D54" s="495"/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5"/>
      <c r="V54" s="495"/>
      <c r="W54" s="495"/>
      <c r="X54" s="496"/>
      <c r="Y54" s="495"/>
      <c r="Z54" s="495"/>
      <c r="AA54" s="495"/>
      <c r="AB54" s="495"/>
      <c r="AC54" s="495"/>
      <c r="AD54" s="495"/>
      <c r="AE54" s="495"/>
      <c r="AF54" s="495"/>
      <c r="AG54" s="495"/>
      <c r="AH54" s="496"/>
    </row>
    <row r="55" spans="2:34" ht="16.5" thickTop="1" thickBot="1" x14ac:dyDescent="0.3">
      <c r="B55" s="494"/>
      <c r="C55" s="495"/>
      <c r="D55" s="495"/>
      <c r="E55" s="495"/>
      <c r="F55" s="495"/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5"/>
      <c r="U55" s="495"/>
      <c r="V55" s="495"/>
      <c r="W55" s="495"/>
      <c r="X55" s="496"/>
      <c r="Y55" s="1001" t="s">
        <v>15</v>
      </c>
      <c r="Z55" s="1002"/>
      <c r="AA55" s="1002"/>
      <c r="AB55" s="1002"/>
      <c r="AC55" s="1003"/>
      <c r="AD55" s="497">
        <f>SUM(AE48:AE53)</f>
        <v>2828060563149.3555</v>
      </c>
      <c r="AE55" s="498">
        <f>SUM(AE48:AE53)</f>
        <v>2828060563149.3555</v>
      </c>
      <c r="AF55" s="498">
        <f>SUM(AG48:AG53)</f>
        <v>2828060563152</v>
      </c>
      <c r="AG55" s="499">
        <f>SUM(AG48:AG54)</f>
        <v>2828060563152</v>
      </c>
      <c r="AH55" s="498" t="s">
        <v>117</v>
      </c>
    </row>
    <row r="56" spans="2:34" ht="16.5" thickBot="1" x14ac:dyDescent="0.3">
      <c r="B56" s="500"/>
      <c r="C56" s="501"/>
      <c r="D56" s="501"/>
      <c r="E56" s="501"/>
      <c r="F56" s="501"/>
      <c r="G56" s="501"/>
      <c r="H56" s="501"/>
      <c r="I56" s="501"/>
      <c r="J56" s="501"/>
      <c r="K56" s="501"/>
      <c r="L56" s="501"/>
      <c r="M56" s="501"/>
      <c r="N56" s="501"/>
      <c r="O56" s="501"/>
      <c r="P56" s="501"/>
      <c r="Q56" s="501"/>
      <c r="R56" s="501"/>
      <c r="S56" s="501"/>
      <c r="T56" s="501"/>
      <c r="U56" s="501"/>
      <c r="V56" s="501"/>
      <c r="W56" s="501"/>
      <c r="X56" s="502"/>
      <c r="Y56" s="1004" t="s">
        <v>26</v>
      </c>
      <c r="Z56" s="1005"/>
      <c r="AA56" s="1005"/>
      <c r="AB56" s="1005"/>
      <c r="AC56" s="1006"/>
      <c r="AD56" s="503">
        <f xml:space="preserve"> (AD55-AF55)/AD55</f>
        <v>-9.3510417862304352E-13</v>
      </c>
      <c r="AE56" s="501"/>
      <c r="AF56" s="501"/>
      <c r="AG56" s="501"/>
      <c r="AH56" s="502"/>
    </row>
    <row r="57" spans="2:34" ht="15.75" thickTop="1" x14ac:dyDescent="0.25"/>
    <row r="59" spans="2:34" ht="15.75" thickBot="1" x14ac:dyDescent="0.3"/>
    <row r="60" spans="2:34" ht="20.25" thickTop="1" thickBot="1" x14ac:dyDescent="0.3">
      <c r="B60" s="531" t="s">
        <v>121</v>
      </c>
      <c r="C60" s="532" t="s">
        <v>126</v>
      </c>
      <c r="D60" s="1061" t="s">
        <v>28</v>
      </c>
      <c r="E60" s="1061"/>
      <c r="F60" s="1061"/>
      <c r="G60" s="1061"/>
      <c r="H60" s="1061"/>
      <c r="I60" s="1061"/>
      <c r="J60" s="1061"/>
      <c r="K60" s="1061"/>
      <c r="L60" s="1061"/>
      <c r="M60" s="1061"/>
      <c r="N60" s="1061"/>
      <c r="O60" s="1061"/>
      <c r="P60" s="1061"/>
      <c r="Q60" s="1061"/>
      <c r="R60" s="1061"/>
      <c r="S60" s="1061"/>
      <c r="T60" s="1061"/>
      <c r="U60" s="1061"/>
      <c r="V60" s="1061"/>
      <c r="W60" s="1061"/>
      <c r="X60" s="1062"/>
      <c r="Y60" s="1063" t="s">
        <v>13</v>
      </c>
      <c r="Z60" s="1062"/>
      <c r="AA60" s="1070"/>
      <c r="AB60" s="1071"/>
      <c r="AC60" s="1072"/>
      <c r="AD60" s="1063" t="s">
        <v>14</v>
      </c>
      <c r="AE60" s="1061"/>
      <c r="AF60" s="1061"/>
      <c r="AG60" s="1061"/>
      <c r="AH60" s="1062"/>
    </row>
    <row r="61" spans="2:34" ht="48" customHeight="1" thickBot="1" x14ac:dyDescent="0.3">
      <c r="B61" s="533"/>
      <c r="C61" s="534" t="s">
        <v>57</v>
      </c>
      <c r="D61" s="535" t="s">
        <v>59</v>
      </c>
      <c r="E61" s="536" t="s">
        <v>60</v>
      </c>
      <c r="F61" s="536" t="s">
        <v>61</v>
      </c>
      <c r="G61" s="536" t="s">
        <v>62</v>
      </c>
      <c r="H61" s="536" t="s">
        <v>63</v>
      </c>
      <c r="I61" s="536" t="s">
        <v>64</v>
      </c>
      <c r="J61" s="536" t="s">
        <v>41</v>
      </c>
      <c r="K61" s="536" t="s">
        <v>65</v>
      </c>
      <c r="L61" s="537" t="s">
        <v>66</v>
      </c>
      <c r="M61" s="536" t="s">
        <v>44</v>
      </c>
      <c r="N61" s="537" t="s">
        <v>67</v>
      </c>
      <c r="O61" s="537" t="s">
        <v>68</v>
      </c>
      <c r="P61" s="537" t="s">
        <v>69</v>
      </c>
      <c r="Q61" s="537" t="s">
        <v>70</v>
      </c>
      <c r="R61" s="537" t="s">
        <v>71</v>
      </c>
      <c r="S61" s="537" t="s">
        <v>131</v>
      </c>
      <c r="T61" s="537" t="s">
        <v>72</v>
      </c>
      <c r="U61" s="537" t="s">
        <v>73</v>
      </c>
      <c r="V61" s="537" t="s">
        <v>150</v>
      </c>
      <c r="W61" s="537" t="s">
        <v>36</v>
      </c>
      <c r="X61" s="538" t="s">
        <v>74</v>
      </c>
      <c r="Y61" s="539" t="s">
        <v>24</v>
      </c>
      <c r="Z61" s="540" t="s">
        <v>12</v>
      </c>
      <c r="AA61" s="541" t="s">
        <v>9</v>
      </c>
      <c r="AB61" s="542"/>
      <c r="AC61" s="543" t="s">
        <v>10</v>
      </c>
      <c r="AD61" s="539" t="s">
        <v>11</v>
      </c>
      <c r="AE61" s="544"/>
      <c r="AF61" s="534" t="s">
        <v>151</v>
      </c>
      <c r="AG61" s="545"/>
      <c r="AH61" s="543" t="s">
        <v>12</v>
      </c>
    </row>
    <row r="62" spans="2:34" ht="15.95" customHeight="1" x14ac:dyDescent="0.25">
      <c r="B62" s="546" t="s">
        <v>120</v>
      </c>
      <c r="C62" s="547" t="s">
        <v>125</v>
      </c>
      <c r="D62" s="548">
        <v>77</v>
      </c>
      <c r="E62" s="549"/>
      <c r="F62" s="549"/>
      <c r="G62" s="549"/>
      <c r="H62" s="549">
        <f>D62*(L62/(J62+L62))</f>
        <v>9.4660550458715598</v>
      </c>
      <c r="I62" s="549"/>
      <c r="J62" s="549">
        <v>478</v>
      </c>
      <c r="K62" s="549"/>
      <c r="L62" s="549">
        <v>67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8">
        <v>90</v>
      </c>
      <c r="Y62" s="550">
        <f>((J62/3)*(((D62*X62*(D62/(2*TAN(PI()/X62))))/2)+SQRT(((D62*X62*(D62/(2*TAN(PI()/X62))))/2)*((H62/D62)^2*((D62*X62*(D62/(2*TAN(PI()/X62))))/2)))+((H62/D62)^2*((D62*X62*(D62/(2*TAN(PI()/X62))))/2))))*100000</f>
        <v>69270410525046.75</v>
      </c>
      <c r="Z62" s="551" t="s">
        <v>113</v>
      </c>
      <c r="AA62" s="548" t="s">
        <v>80</v>
      </c>
      <c r="AB62" s="549">
        <f t="shared" ref="AB62:AB67" si="12">IF(AA62="PLUS",1,IF(AA62="MINUS",-1,0))</f>
        <v>0</v>
      </c>
      <c r="AC62" s="552">
        <v>7</v>
      </c>
      <c r="AD62" s="553">
        <f>Y62/100000</f>
        <v>692704105.25046754</v>
      </c>
      <c r="AE62" s="554">
        <f t="shared" ref="AE62:AE67" si="13">AB62*AC62*AD62</f>
        <v>0</v>
      </c>
      <c r="AF62" s="547">
        <v>692704105</v>
      </c>
      <c r="AG62" s="548">
        <f t="shared" ref="AG62:AG67" si="14">AB62*AC62*AF62</f>
        <v>0</v>
      </c>
      <c r="AH62" s="644" t="s">
        <v>116</v>
      </c>
    </row>
    <row r="63" spans="2:34" ht="15.95" customHeight="1" x14ac:dyDescent="0.25">
      <c r="B63" s="555" t="s">
        <v>128</v>
      </c>
      <c r="C63" s="556" t="s">
        <v>124</v>
      </c>
      <c r="D63" s="557"/>
      <c r="E63" s="558"/>
      <c r="F63" s="558"/>
      <c r="G63" s="558"/>
      <c r="H63" s="558"/>
      <c r="I63" s="558"/>
      <c r="J63" s="558"/>
      <c r="K63" s="558">
        <v>80</v>
      </c>
      <c r="L63" s="558"/>
      <c r="M63" s="558"/>
      <c r="N63" s="558"/>
      <c r="O63" s="558"/>
      <c r="P63" s="558"/>
      <c r="Q63" s="558"/>
      <c r="R63" s="558"/>
      <c r="S63" s="558"/>
      <c r="T63" s="558">
        <v>170</v>
      </c>
      <c r="U63" s="558">
        <f>SQRT(T63^2-(T63-K63)^2)</f>
        <v>144.22205101855957</v>
      </c>
      <c r="V63" s="558"/>
      <c r="W63" s="558"/>
      <c r="X63" s="557"/>
      <c r="Y63" s="559">
        <f>((((PI()*K63)/6)*(3*U63^2+K63^2))+((PI()*(T63-K63)*U63^2)/3))*10</f>
        <v>48422414.767330676</v>
      </c>
      <c r="Z63" s="560" t="s">
        <v>114</v>
      </c>
      <c r="AA63" s="557" t="s">
        <v>80</v>
      </c>
      <c r="AB63" s="558">
        <f t="shared" si="12"/>
        <v>0</v>
      </c>
      <c r="AC63" s="561">
        <v>13</v>
      </c>
      <c r="AD63" s="562">
        <f>Y63/10</f>
        <v>4842241.476733068</v>
      </c>
      <c r="AE63" s="563">
        <f t="shared" si="13"/>
        <v>0</v>
      </c>
      <c r="AF63" s="556">
        <v>4842241</v>
      </c>
      <c r="AG63" s="557">
        <f t="shared" si="14"/>
        <v>0</v>
      </c>
      <c r="AH63" s="561" t="s">
        <v>116</v>
      </c>
    </row>
    <row r="64" spans="2:34" ht="15.95" customHeight="1" x14ac:dyDescent="0.25">
      <c r="B64" s="555" t="s">
        <v>94</v>
      </c>
      <c r="C64" s="556" t="s">
        <v>95</v>
      </c>
      <c r="D64" s="557">
        <f>O64*SQRT(1/2)</f>
        <v>55.861435713737258</v>
      </c>
      <c r="E64" s="558"/>
      <c r="F64" s="558"/>
      <c r="G64" s="558"/>
      <c r="H64" s="558"/>
      <c r="I64" s="558"/>
      <c r="J64" s="558"/>
      <c r="K64" s="558"/>
      <c r="L64" s="558"/>
      <c r="M64" s="558"/>
      <c r="N64" s="558"/>
      <c r="O64" s="558">
        <v>79</v>
      </c>
      <c r="P64" s="558"/>
      <c r="Q64" s="558"/>
      <c r="R64" s="558"/>
      <c r="S64" s="558"/>
      <c r="T64" s="558"/>
      <c r="U64" s="558"/>
      <c r="V64" s="558"/>
      <c r="W64" s="558"/>
      <c r="X64" s="557"/>
      <c r="Y64" s="559">
        <f>D64^3*10000</f>
        <v>1743156101.4471714</v>
      </c>
      <c r="Z64" s="560" t="s">
        <v>115</v>
      </c>
      <c r="AA64" s="557" t="s">
        <v>22</v>
      </c>
      <c r="AB64" s="558">
        <f t="shared" si="12"/>
        <v>1</v>
      </c>
      <c r="AC64" s="561">
        <v>56</v>
      </c>
      <c r="AD64" s="562">
        <f>Y64/10000</f>
        <v>174315.61014471715</v>
      </c>
      <c r="AE64" s="563">
        <f t="shared" si="13"/>
        <v>9761674.1681041606</v>
      </c>
      <c r="AF64" s="556">
        <v>174316</v>
      </c>
      <c r="AG64" s="557">
        <f t="shared" si="14"/>
        <v>9761696</v>
      </c>
      <c r="AH64" s="561" t="s">
        <v>116</v>
      </c>
    </row>
    <row r="65" spans="2:34" ht="15.95" customHeight="1" x14ac:dyDescent="0.25">
      <c r="B65" s="555" t="s">
        <v>106</v>
      </c>
      <c r="C65" s="556" t="s">
        <v>124</v>
      </c>
      <c r="D65" s="557"/>
      <c r="E65" s="558"/>
      <c r="F65" s="558"/>
      <c r="G65" s="558"/>
      <c r="H65" s="558"/>
      <c r="I65" s="558"/>
      <c r="J65" s="558">
        <v>56</v>
      </c>
      <c r="K65" s="558"/>
      <c r="L65" s="558"/>
      <c r="M65" s="558"/>
      <c r="N65" s="558"/>
      <c r="O65" s="558"/>
      <c r="P65" s="558"/>
      <c r="Q65" s="558"/>
      <c r="R65" s="558"/>
      <c r="S65" s="558"/>
      <c r="T65" s="558">
        <v>66</v>
      </c>
      <c r="U65" s="558"/>
      <c r="V65" s="558"/>
      <c r="W65" s="558"/>
      <c r="X65" s="557"/>
      <c r="Y65" s="559">
        <f>PI()*T65^2*J65*1000000</f>
        <v>766347545546.07971</v>
      </c>
      <c r="Z65" s="560" t="s">
        <v>117</v>
      </c>
      <c r="AA65" s="557" t="s">
        <v>21</v>
      </c>
      <c r="AB65" s="558">
        <f t="shared" si="12"/>
        <v>-1</v>
      </c>
      <c r="AC65" s="561">
        <v>7</v>
      </c>
      <c r="AD65" s="562">
        <f>Y65/1000000</f>
        <v>766347.54554607975</v>
      </c>
      <c r="AE65" s="563">
        <f t="shared" si="13"/>
        <v>-5364432.818822558</v>
      </c>
      <c r="AF65" s="556">
        <v>766348</v>
      </c>
      <c r="AG65" s="557">
        <f t="shared" si="14"/>
        <v>-5364436</v>
      </c>
      <c r="AH65" s="561" t="s">
        <v>137</v>
      </c>
    </row>
    <row r="66" spans="2:34" ht="15.95" customHeight="1" x14ac:dyDescent="0.25">
      <c r="B66" s="555" t="s">
        <v>75</v>
      </c>
      <c r="C66" s="556" t="s">
        <v>77</v>
      </c>
      <c r="D66" s="557">
        <v>320</v>
      </c>
      <c r="E66" s="558">
        <v>333</v>
      </c>
      <c r="F66" s="558">
        <v>290</v>
      </c>
      <c r="G66" s="558"/>
      <c r="H66" s="558"/>
      <c r="I66" s="558"/>
      <c r="J66" s="558">
        <v>677</v>
      </c>
      <c r="K66" s="558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7"/>
      <c r="Y66" s="559">
        <f>J66*SQRT(((D66+E66+F66)/2)*(((D66+E66+F66)/2)-D66)*(((D66+E66+F66)/2)-E66)*(((D66+E66+F66)/2)-F66))</f>
        <v>28687918.275544792</v>
      </c>
      <c r="Z66" s="560" t="s">
        <v>116</v>
      </c>
      <c r="AA66" s="557" t="s">
        <v>22</v>
      </c>
      <c r="AB66" s="558">
        <f t="shared" si="12"/>
        <v>1</v>
      </c>
      <c r="AC66" s="561">
        <v>67</v>
      </c>
      <c r="AD66" s="562">
        <f>Y66</f>
        <v>28687918.275544792</v>
      </c>
      <c r="AE66" s="563">
        <f t="shared" si="13"/>
        <v>1922090524.4615011</v>
      </c>
      <c r="AF66" s="556">
        <v>28687918</v>
      </c>
      <c r="AG66" s="557">
        <f t="shared" si="14"/>
        <v>1922090506</v>
      </c>
      <c r="AH66" s="561" t="s">
        <v>137</v>
      </c>
    </row>
    <row r="67" spans="2:34" ht="15.95" customHeight="1" thickBot="1" x14ac:dyDescent="0.3">
      <c r="B67" s="564" t="s">
        <v>102</v>
      </c>
      <c r="C67" s="565" t="s">
        <v>123</v>
      </c>
      <c r="D67" s="566">
        <v>78</v>
      </c>
      <c r="E67" s="567">
        <v>35</v>
      </c>
      <c r="F67" s="567">
        <f>SQRT(O67^2-D67^2)</f>
        <v>42.860237983473681</v>
      </c>
      <c r="G67" s="567"/>
      <c r="H67" s="567"/>
      <c r="I67" s="567"/>
      <c r="J67" s="567"/>
      <c r="K67" s="567"/>
      <c r="L67" s="567"/>
      <c r="M67" s="567"/>
      <c r="N67" s="567"/>
      <c r="O67" s="567">
        <v>89</v>
      </c>
      <c r="P67" s="567"/>
      <c r="Q67" s="567"/>
      <c r="R67" s="567"/>
      <c r="S67" s="567"/>
      <c r="T67" s="567"/>
      <c r="U67" s="567"/>
      <c r="V67" s="567"/>
      <c r="W67" s="567"/>
      <c r="X67" s="566"/>
      <c r="Y67" s="568">
        <f>D67*E67*F67*1000</f>
        <v>117008449.69488315</v>
      </c>
      <c r="Z67" s="569" t="s">
        <v>118</v>
      </c>
      <c r="AA67" s="566" t="s">
        <v>21</v>
      </c>
      <c r="AB67" s="567">
        <f t="shared" si="12"/>
        <v>-1</v>
      </c>
      <c r="AC67" s="570">
        <v>77</v>
      </c>
      <c r="AD67" s="571">
        <f>Y67/1000</f>
        <v>117008.44969488315</v>
      </c>
      <c r="AE67" s="572">
        <f t="shared" si="13"/>
        <v>-9009650.6265060026</v>
      </c>
      <c r="AF67" s="565">
        <v>117008</v>
      </c>
      <c r="AG67" s="566">
        <f t="shared" si="14"/>
        <v>-9009616</v>
      </c>
      <c r="AH67" s="570" t="s">
        <v>137</v>
      </c>
    </row>
    <row r="68" spans="2:34" ht="15.75" thickBot="1" x14ac:dyDescent="0.3">
      <c r="B68" s="573"/>
      <c r="C68" s="574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5"/>
      <c r="Y68" s="574"/>
      <c r="Z68" s="574"/>
      <c r="AA68" s="574"/>
      <c r="AB68" s="574"/>
      <c r="AC68" s="574"/>
      <c r="AD68" s="574"/>
      <c r="AE68" s="574"/>
      <c r="AF68" s="574"/>
      <c r="AG68" s="574"/>
      <c r="AH68" s="575"/>
    </row>
    <row r="69" spans="2:34" ht="18.75" thickTop="1" thickBot="1" x14ac:dyDescent="0.3">
      <c r="B69" s="573"/>
      <c r="C69" s="574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5"/>
      <c r="Y69" s="1064" t="s">
        <v>15</v>
      </c>
      <c r="Z69" s="1065"/>
      <c r="AA69" s="1065"/>
      <c r="AB69" s="1065"/>
      <c r="AC69" s="1066"/>
      <c r="AD69" s="576">
        <f>SUM(AE62:AE67)</f>
        <v>1917478115.1842766</v>
      </c>
      <c r="AE69" s="577">
        <f>SUM(AE62:AE67)</f>
        <v>1917478115.1842766</v>
      </c>
      <c r="AF69" s="577">
        <f>SUM(AG62:AG67)</f>
        <v>1917478150</v>
      </c>
      <c r="AG69" s="578">
        <f>SUM(AG62:AG68)</f>
        <v>1917478150</v>
      </c>
      <c r="AH69" s="577" t="s">
        <v>137</v>
      </c>
    </row>
    <row r="70" spans="2:34" ht="16.5" thickBot="1" x14ac:dyDescent="0.3">
      <c r="B70" s="579"/>
      <c r="C70" s="580"/>
      <c r="D70" s="580"/>
      <c r="E70" s="580"/>
      <c r="F70" s="580"/>
      <c r="G70" s="580"/>
      <c r="H70" s="580"/>
      <c r="I70" s="580"/>
      <c r="J70" s="580"/>
      <c r="K70" s="580"/>
      <c r="L70" s="580"/>
      <c r="M70" s="580"/>
      <c r="N70" s="580"/>
      <c r="O70" s="580"/>
      <c r="P70" s="580"/>
      <c r="Q70" s="580"/>
      <c r="R70" s="580"/>
      <c r="S70" s="580"/>
      <c r="T70" s="580"/>
      <c r="U70" s="580"/>
      <c r="V70" s="580"/>
      <c r="W70" s="580"/>
      <c r="X70" s="581"/>
      <c r="Y70" s="1067" t="s">
        <v>26</v>
      </c>
      <c r="Z70" s="1068"/>
      <c r="AA70" s="1068"/>
      <c r="AB70" s="1068"/>
      <c r="AC70" s="1069"/>
      <c r="AD70" s="582">
        <f xml:space="preserve"> (AD69-AF69)/AD69</f>
        <v>-1.8157038217796576E-8</v>
      </c>
      <c r="AE70" s="580"/>
      <c r="AF70" s="580"/>
      <c r="AG70" s="580"/>
      <c r="AH70" s="581"/>
    </row>
    <row r="71" spans="2:34" ht="15.75" thickTop="1" x14ac:dyDescent="0.25"/>
    <row r="74" spans="2:34" ht="15.75" thickBot="1" x14ac:dyDescent="0.3"/>
    <row r="75" spans="2:34" ht="20.25" thickTop="1" thickBot="1" x14ac:dyDescent="0.3">
      <c r="B75" s="657" t="s">
        <v>121</v>
      </c>
      <c r="C75" s="658" t="s">
        <v>126</v>
      </c>
      <c r="D75" s="1049" t="s">
        <v>28</v>
      </c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50"/>
      <c r="Y75" s="1051" t="s">
        <v>13</v>
      </c>
      <c r="Z75" s="1050"/>
      <c r="AA75" s="1058"/>
      <c r="AB75" s="1059"/>
      <c r="AC75" s="1060"/>
      <c r="AD75" s="1051" t="s">
        <v>14</v>
      </c>
      <c r="AE75" s="1049"/>
      <c r="AF75" s="1049"/>
      <c r="AG75" s="1049"/>
      <c r="AH75" s="1050"/>
    </row>
    <row r="76" spans="2:34" ht="48" customHeight="1" thickBot="1" x14ac:dyDescent="0.3">
      <c r="B76" s="659"/>
      <c r="C76" s="660" t="s">
        <v>57</v>
      </c>
      <c r="D76" s="661" t="s">
        <v>59</v>
      </c>
      <c r="E76" s="662" t="s">
        <v>60</v>
      </c>
      <c r="F76" s="662" t="s">
        <v>61</v>
      </c>
      <c r="G76" s="662" t="s">
        <v>62</v>
      </c>
      <c r="H76" s="662" t="s">
        <v>63</v>
      </c>
      <c r="I76" s="662" t="s">
        <v>64</v>
      </c>
      <c r="J76" s="662" t="s">
        <v>41</v>
      </c>
      <c r="K76" s="662" t="s">
        <v>65</v>
      </c>
      <c r="L76" s="663" t="s">
        <v>66</v>
      </c>
      <c r="M76" s="662" t="s">
        <v>44</v>
      </c>
      <c r="N76" s="663" t="s">
        <v>67</v>
      </c>
      <c r="O76" s="663" t="s">
        <v>68</v>
      </c>
      <c r="P76" s="663" t="s">
        <v>69</v>
      </c>
      <c r="Q76" s="663" t="s">
        <v>70</v>
      </c>
      <c r="R76" s="663" t="s">
        <v>71</v>
      </c>
      <c r="S76" s="663" t="s">
        <v>131</v>
      </c>
      <c r="T76" s="663" t="s">
        <v>72</v>
      </c>
      <c r="U76" s="663" t="s">
        <v>73</v>
      </c>
      <c r="V76" s="663" t="s">
        <v>150</v>
      </c>
      <c r="W76" s="663" t="s">
        <v>36</v>
      </c>
      <c r="X76" s="664" t="s">
        <v>74</v>
      </c>
      <c r="Y76" s="665" t="s">
        <v>24</v>
      </c>
      <c r="Z76" s="666" t="s">
        <v>12</v>
      </c>
      <c r="AA76" s="667" t="s">
        <v>9</v>
      </c>
      <c r="AB76" s="668"/>
      <c r="AC76" s="669" t="s">
        <v>10</v>
      </c>
      <c r="AD76" s="665" t="s">
        <v>11</v>
      </c>
      <c r="AE76" s="670"/>
      <c r="AF76" s="660" t="s">
        <v>151</v>
      </c>
      <c r="AG76" s="671"/>
      <c r="AH76" s="669" t="s">
        <v>12</v>
      </c>
    </row>
    <row r="77" spans="2:34" ht="15.95" customHeight="1" x14ac:dyDescent="0.25">
      <c r="B77" s="672" t="s">
        <v>86</v>
      </c>
      <c r="C77" s="673" t="s">
        <v>88</v>
      </c>
      <c r="D77" s="674">
        <v>122</v>
      </c>
      <c r="E77" s="675">
        <v>45</v>
      </c>
      <c r="F77" s="675"/>
      <c r="G77" s="675"/>
      <c r="H77" s="675">
        <v>6</v>
      </c>
      <c r="I77" s="675">
        <f>E77*(L77/(J77+L77))</f>
        <v>2.2131147540983611</v>
      </c>
      <c r="J77" s="675">
        <v>166</v>
      </c>
      <c r="K77" s="675"/>
      <c r="L77" s="675">
        <f>J77*(H77/(D77-H77))</f>
        <v>8.5862068965517242</v>
      </c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674"/>
      <c r="Y77" s="676">
        <f>((J77/3)*((D77*E77)+SQRT((D77*E77)*(H77*I77))+H77*I77))*100000</f>
        <v>31945475409.836067</v>
      </c>
      <c r="Z77" s="677" t="s">
        <v>113</v>
      </c>
      <c r="AA77" s="674" t="s">
        <v>21</v>
      </c>
      <c r="AB77" s="675">
        <f t="shared" ref="AB77:AB82" si="15">IF(AA77="PLUS",1,IF(AA77="MINUS",-1,0))</f>
        <v>-1</v>
      </c>
      <c r="AC77" s="678">
        <v>189</v>
      </c>
      <c r="AD77" s="679">
        <f>Y77/100000*1000</f>
        <v>319454754.09836066</v>
      </c>
      <c r="AE77" s="680">
        <f t="shared" ref="AE77:AE82" si="16">AB77*AC77*AD77</f>
        <v>-60376948524.590164</v>
      </c>
      <c r="AF77" s="673">
        <v>319454754</v>
      </c>
      <c r="AG77" s="674">
        <f t="shared" ref="AG77:AG82" si="17">AB77*AC77*AF77</f>
        <v>-60376948506</v>
      </c>
      <c r="AH77" s="678" t="s">
        <v>118</v>
      </c>
    </row>
    <row r="78" spans="2:34" ht="15.95" customHeight="1" x14ac:dyDescent="0.25">
      <c r="B78" s="681" t="s">
        <v>83</v>
      </c>
      <c r="C78" s="682" t="s">
        <v>138</v>
      </c>
      <c r="D78" s="683">
        <v>90</v>
      </c>
      <c r="E78" s="684"/>
      <c r="F78" s="684"/>
      <c r="G78" s="684"/>
      <c r="H78" s="684"/>
      <c r="I78" s="684"/>
      <c r="J78" s="684">
        <v>80</v>
      </c>
      <c r="K78" s="684"/>
      <c r="L78" s="684"/>
      <c r="M78" s="684"/>
      <c r="N78" s="684"/>
      <c r="O78" s="684"/>
      <c r="P78" s="684"/>
      <c r="Q78" s="684"/>
      <c r="R78" s="684">
        <f>S78*COS(((2*PI())/X78)/2)</f>
        <v>1002.002852638519</v>
      </c>
      <c r="S78" s="684">
        <f>(D78/(2*SIN(((2*PI())/X78)/2)))</f>
        <v>1003.0128198062722</v>
      </c>
      <c r="T78" s="684"/>
      <c r="U78" s="684"/>
      <c r="V78" s="684"/>
      <c r="W78" s="684"/>
      <c r="X78" s="683">
        <v>70</v>
      </c>
      <c r="Y78" s="685">
        <f>((D78*X78*J78*R78)/2)*10</f>
        <v>2525047188.6490679</v>
      </c>
      <c r="Z78" s="686" t="s">
        <v>114</v>
      </c>
      <c r="AA78" s="683" t="s">
        <v>21</v>
      </c>
      <c r="AB78" s="684">
        <f t="shared" si="15"/>
        <v>-1</v>
      </c>
      <c r="AC78" s="687">
        <v>34</v>
      </c>
      <c r="AD78" s="688">
        <f>Y78/10*1000</f>
        <v>252504718864.9068</v>
      </c>
      <c r="AE78" s="689">
        <f t="shared" si="16"/>
        <v>-8585160441406.8311</v>
      </c>
      <c r="AF78" s="682">
        <v>252504718865</v>
      </c>
      <c r="AG78" s="683">
        <f t="shared" si="17"/>
        <v>-8585160441410</v>
      </c>
      <c r="AH78" s="687" t="s">
        <v>118</v>
      </c>
    </row>
    <row r="79" spans="2:34" ht="15.95" customHeight="1" x14ac:dyDescent="0.25">
      <c r="B79" s="681" t="s">
        <v>119</v>
      </c>
      <c r="C79" s="682" t="s">
        <v>122</v>
      </c>
      <c r="D79" s="683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>
        <f>W79/2</f>
        <v>225</v>
      </c>
      <c r="U79" s="684"/>
      <c r="V79" s="684"/>
      <c r="W79" s="684">
        <v>450</v>
      </c>
      <c r="X79" s="683"/>
      <c r="Y79" s="685">
        <f>(4/3)*PI()*T79^3*10000</f>
        <v>477129384263.94977</v>
      </c>
      <c r="Z79" s="686" t="s">
        <v>115</v>
      </c>
      <c r="AA79" s="683" t="s">
        <v>80</v>
      </c>
      <c r="AB79" s="684">
        <f t="shared" si="15"/>
        <v>0</v>
      </c>
      <c r="AC79" s="687">
        <v>16</v>
      </c>
      <c r="AD79" s="688">
        <f>Y79/10000*1000</f>
        <v>47712938426.394974</v>
      </c>
      <c r="AE79" s="689">
        <f t="shared" si="16"/>
        <v>0</v>
      </c>
      <c r="AF79" s="682">
        <v>47712938426</v>
      </c>
      <c r="AG79" s="683">
        <f t="shared" si="17"/>
        <v>0</v>
      </c>
      <c r="AH79" s="687" t="s">
        <v>118</v>
      </c>
    </row>
    <row r="80" spans="2:34" ht="15.95" customHeight="1" x14ac:dyDescent="0.25">
      <c r="B80" s="681" t="s">
        <v>94</v>
      </c>
      <c r="C80" s="682" t="s">
        <v>95</v>
      </c>
      <c r="D80" s="683">
        <f>O80*SQRT(1/2)</f>
        <v>650.53823869162375</v>
      </c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>
        <v>920</v>
      </c>
      <c r="P80" s="684"/>
      <c r="Q80" s="684"/>
      <c r="R80" s="684"/>
      <c r="S80" s="684"/>
      <c r="T80" s="684"/>
      <c r="U80" s="684"/>
      <c r="V80" s="684"/>
      <c r="W80" s="684"/>
      <c r="X80" s="683"/>
      <c r="Y80" s="685">
        <f>D80^3*1000000</f>
        <v>275307782614295.19</v>
      </c>
      <c r="Z80" s="686" t="s">
        <v>117</v>
      </c>
      <c r="AA80" s="683" t="s">
        <v>22</v>
      </c>
      <c r="AB80" s="684">
        <f t="shared" si="15"/>
        <v>1</v>
      </c>
      <c r="AC80" s="687">
        <v>37</v>
      </c>
      <c r="AD80" s="688">
        <f>Y80/1000</f>
        <v>275307782614.29517</v>
      </c>
      <c r="AE80" s="689">
        <f t="shared" si="16"/>
        <v>10186387956728.922</v>
      </c>
      <c r="AF80" s="682">
        <v>275307782614</v>
      </c>
      <c r="AG80" s="683">
        <f t="shared" si="17"/>
        <v>10186387956718</v>
      </c>
      <c r="AH80" s="687" t="s">
        <v>118</v>
      </c>
    </row>
    <row r="81" spans="2:34" ht="15.95" customHeight="1" x14ac:dyDescent="0.25">
      <c r="B81" s="681" t="s">
        <v>129</v>
      </c>
      <c r="C81" s="682" t="s">
        <v>107</v>
      </c>
      <c r="D81" s="683"/>
      <c r="E81" s="684"/>
      <c r="F81" s="684"/>
      <c r="G81" s="684"/>
      <c r="H81" s="684"/>
      <c r="I81" s="684"/>
      <c r="J81" s="684">
        <v>58</v>
      </c>
      <c r="K81" s="684"/>
      <c r="L81" s="684"/>
      <c r="M81" s="684"/>
      <c r="N81" s="684"/>
      <c r="O81" s="684"/>
      <c r="P81" s="684"/>
      <c r="Q81" s="684"/>
      <c r="R81" s="684"/>
      <c r="S81" s="684"/>
      <c r="T81" s="684">
        <f>W81/2</f>
        <v>115</v>
      </c>
      <c r="U81" s="684">
        <f>SQRT(T81^2-(T81-J81)^2)</f>
        <v>99.879927913470183</v>
      </c>
      <c r="V81" s="684"/>
      <c r="W81" s="684">
        <v>230</v>
      </c>
      <c r="X81" s="683"/>
      <c r="Y81" s="685">
        <f>(((PI()*J81)/6)*(3*U81^2+J81^2))</f>
        <v>1011035.7253586769</v>
      </c>
      <c r="Z81" s="686" t="s">
        <v>116</v>
      </c>
      <c r="AA81" s="683" t="s">
        <v>21</v>
      </c>
      <c r="AB81" s="684">
        <f t="shared" si="15"/>
        <v>-1</v>
      </c>
      <c r="AC81" s="687">
        <v>1524</v>
      </c>
      <c r="AD81" s="688">
        <f>Y81*1000</f>
        <v>1011035725.3586769</v>
      </c>
      <c r="AE81" s="689">
        <f t="shared" si="16"/>
        <v>-1540818445446.6235</v>
      </c>
      <c r="AF81" s="682">
        <v>1011035725</v>
      </c>
      <c r="AG81" s="683">
        <f t="shared" si="17"/>
        <v>-1540818444900</v>
      </c>
      <c r="AH81" s="687" t="s">
        <v>118</v>
      </c>
    </row>
    <row r="82" spans="2:34" ht="15.95" customHeight="1" thickBot="1" x14ac:dyDescent="0.3">
      <c r="B82" s="690" t="s">
        <v>133</v>
      </c>
      <c r="C82" s="691" t="s">
        <v>139</v>
      </c>
      <c r="D82" s="692"/>
      <c r="E82" s="693"/>
      <c r="F82" s="693"/>
      <c r="G82" s="693"/>
      <c r="H82" s="693"/>
      <c r="I82" s="693"/>
      <c r="J82" s="693">
        <v>170</v>
      </c>
      <c r="K82" s="693"/>
      <c r="L82" s="693">
        <v>97</v>
      </c>
      <c r="M82" s="693"/>
      <c r="N82" s="693"/>
      <c r="O82" s="693"/>
      <c r="P82" s="693"/>
      <c r="Q82" s="693"/>
      <c r="R82" s="693"/>
      <c r="S82" s="693"/>
      <c r="T82" s="693">
        <v>230</v>
      </c>
      <c r="U82" s="693">
        <f>SQRT(T82^2-(T82-L82)^2)</f>
        <v>187.6459432015518</v>
      </c>
      <c r="V82" s="693">
        <f>SQRT(T82^2-(T82-L82-J82)^2)</f>
        <v>227.00440524359874</v>
      </c>
      <c r="W82" s="693"/>
      <c r="X82" s="692"/>
      <c r="Y82" s="694">
        <f>(((PI()*J82)/6)*(3*U82^2+3*V82^2+J82^2))*1000</f>
        <v>25735623330.91774</v>
      </c>
      <c r="Z82" s="695" t="s">
        <v>118</v>
      </c>
      <c r="AA82" s="692" t="s">
        <v>80</v>
      </c>
      <c r="AB82" s="693">
        <f t="shared" si="15"/>
        <v>0</v>
      </c>
      <c r="AC82" s="696">
        <v>119</v>
      </c>
      <c r="AD82" s="697">
        <f>Y82</f>
        <v>25735623330.91774</v>
      </c>
      <c r="AE82" s="698">
        <f t="shared" si="16"/>
        <v>0</v>
      </c>
      <c r="AF82" s="691">
        <v>25735623331</v>
      </c>
      <c r="AG82" s="692">
        <f t="shared" si="17"/>
        <v>0</v>
      </c>
      <c r="AH82" s="696" t="s">
        <v>118</v>
      </c>
    </row>
    <row r="83" spans="2:34" ht="15.75" thickBot="1" x14ac:dyDescent="0.3">
      <c r="B83" s="699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1"/>
      <c r="Y83" s="700"/>
      <c r="Z83" s="700"/>
      <c r="AA83" s="700"/>
      <c r="AB83" s="700"/>
      <c r="AC83" s="700"/>
      <c r="AD83" s="700"/>
      <c r="AE83" s="700"/>
      <c r="AF83" s="700"/>
      <c r="AG83" s="700"/>
      <c r="AH83" s="701"/>
    </row>
    <row r="84" spans="2:34" ht="16.5" thickTop="1" thickBot="1" x14ac:dyDescent="0.3">
      <c r="B84" s="699"/>
      <c r="C84" s="700"/>
      <c r="D84" s="700"/>
      <c r="E84" s="700"/>
      <c r="F84" s="700"/>
      <c r="G84" s="700"/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1"/>
      <c r="Y84" s="1052" t="s">
        <v>15</v>
      </c>
      <c r="Z84" s="1053"/>
      <c r="AA84" s="1053"/>
      <c r="AB84" s="1053"/>
      <c r="AC84" s="1054"/>
      <c r="AD84" s="702">
        <f>SUM(AE77:AE82)</f>
        <v>32121350.877441406</v>
      </c>
      <c r="AE84" s="703">
        <f>SUM(AE77:AE82)</f>
        <v>32121350.877441406</v>
      </c>
      <c r="AF84" s="703">
        <f>SUM(AG77:AG82)</f>
        <v>32121902</v>
      </c>
      <c r="AG84" s="704">
        <f>SUM(AG77:AG83)</f>
        <v>32121902</v>
      </c>
      <c r="AH84" s="703" t="s">
        <v>118</v>
      </c>
    </row>
    <row r="85" spans="2:34" ht="16.5" thickBot="1" x14ac:dyDescent="0.3">
      <c r="B85" s="705"/>
      <c r="C85" s="706"/>
      <c r="D85" s="706"/>
      <c r="E85" s="706"/>
      <c r="F85" s="706"/>
      <c r="G85" s="706"/>
      <c r="H85" s="706"/>
      <c r="I85" s="706"/>
      <c r="J85" s="706"/>
      <c r="K85" s="706"/>
      <c r="L85" s="706"/>
      <c r="M85" s="706"/>
      <c r="N85" s="706"/>
      <c r="O85" s="706"/>
      <c r="P85" s="706"/>
      <c r="Q85" s="706"/>
      <c r="R85" s="706"/>
      <c r="S85" s="706"/>
      <c r="T85" s="706"/>
      <c r="U85" s="706"/>
      <c r="V85" s="706"/>
      <c r="W85" s="706"/>
      <c r="X85" s="707"/>
      <c r="Y85" s="1055" t="s">
        <v>26</v>
      </c>
      <c r="Z85" s="1056"/>
      <c r="AA85" s="1056"/>
      <c r="AB85" s="1056"/>
      <c r="AC85" s="1057"/>
      <c r="AD85" s="708">
        <f xml:space="preserve"> (AD84-AF84)/AD84</f>
        <v>-1.7157514971787796E-5</v>
      </c>
      <c r="AE85" s="706"/>
      <c r="AF85" s="706"/>
      <c r="AG85" s="706"/>
      <c r="AH85" s="707"/>
    </row>
    <row r="86" spans="2:34" ht="15.75" thickTop="1" x14ac:dyDescent="0.25"/>
    <row r="87" spans="2:34" ht="15.75" thickBot="1" x14ac:dyDescent="0.3"/>
    <row r="88" spans="2:34" ht="17.25" thickTop="1" thickBot="1" x14ac:dyDescent="0.3">
      <c r="B88" s="1043" t="s">
        <v>108</v>
      </c>
      <c r="C88" s="1044"/>
      <c r="D88" s="1044"/>
      <c r="E88" s="1044"/>
      <c r="F88" s="1044"/>
      <c r="G88" s="1044"/>
      <c r="H88" s="1044"/>
      <c r="I88" s="1044"/>
      <c r="J88" s="1044"/>
      <c r="K88" s="1044"/>
      <c r="L88" s="1044"/>
      <c r="M88" s="1044"/>
      <c r="N88" s="1044"/>
      <c r="O88" s="1044"/>
      <c r="P88" s="1044"/>
      <c r="Q88" s="1044"/>
      <c r="R88" s="1044"/>
      <c r="S88" s="1044"/>
      <c r="T88" s="1044"/>
      <c r="U88" s="1044"/>
      <c r="V88" s="1044"/>
      <c r="W88" s="1044"/>
      <c r="X88" s="1044"/>
      <c r="Y88" s="1044"/>
      <c r="Z88" s="1044"/>
      <c r="AA88" s="1044"/>
      <c r="AB88" s="1044"/>
      <c r="AC88" s="1044"/>
      <c r="AD88" s="1045"/>
    </row>
    <row r="89" spans="2:34" ht="15.75" thickBot="1" x14ac:dyDescent="0.3">
      <c r="B89" s="1046" t="s">
        <v>50</v>
      </c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8"/>
    </row>
    <row r="90" spans="2:34" x14ac:dyDescent="0.25">
      <c r="B90" s="1080"/>
      <c r="C90" s="1081"/>
      <c r="D90" s="1081"/>
      <c r="E90" s="108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1086" t="s">
        <v>52</v>
      </c>
      <c r="Z90" s="1087"/>
      <c r="AA90" s="1087"/>
      <c r="AB90" s="1087"/>
      <c r="AC90" s="1087"/>
      <c r="AD90" s="1088"/>
    </row>
    <row r="91" spans="2:34" x14ac:dyDescent="0.25">
      <c r="B91" s="1082"/>
      <c r="C91" s="1083"/>
      <c r="D91" s="1083"/>
      <c r="E91" s="1083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1089" t="s">
        <v>53</v>
      </c>
      <c r="Z91" s="1090"/>
      <c r="AA91" s="1090"/>
      <c r="AB91" s="1090"/>
      <c r="AC91" s="1090"/>
      <c r="AD91" s="1091"/>
    </row>
    <row r="92" spans="2:34" x14ac:dyDescent="0.25">
      <c r="B92" s="1082"/>
      <c r="C92" s="1083"/>
      <c r="D92" s="1083"/>
      <c r="E92" s="1083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2" t="s">
        <v>55</v>
      </c>
      <c r="Z92" s="303"/>
      <c r="AA92" s="303"/>
      <c r="AB92" s="303"/>
      <c r="AC92" s="303"/>
      <c r="AD92" s="304"/>
    </row>
    <row r="93" spans="2:34" ht="15.75" thickBot="1" x14ac:dyDescent="0.3">
      <c r="B93" s="1084"/>
      <c r="C93" s="1085"/>
      <c r="D93" s="1085"/>
      <c r="E93" s="1085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1092" t="s">
        <v>56</v>
      </c>
      <c r="Z93" s="1093"/>
      <c r="AA93" s="1093"/>
      <c r="AB93" s="1093"/>
      <c r="AC93" s="1093"/>
      <c r="AD93" s="1094"/>
    </row>
    <row r="94" spans="2:34" ht="15.75" thickBot="1" x14ac:dyDescent="0.3">
      <c r="B94" s="1095" t="s">
        <v>155</v>
      </c>
      <c r="C94" s="1096"/>
      <c r="D94" s="1096"/>
      <c r="E94" s="1096"/>
      <c r="F94" s="1096"/>
      <c r="G94" s="1096"/>
      <c r="H94" s="1096"/>
      <c r="I94" s="1096"/>
      <c r="J94" s="1096"/>
      <c r="K94" s="1096"/>
      <c r="L94" s="1096"/>
      <c r="M94" s="1096"/>
      <c r="N94" s="1096"/>
      <c r="O94" s="1096"/>
      <c r="P94" s="1096"/>
      <c r="Q94" s="1096"/>
      <c r="R94" s="1096"/>
      <c r="S94" s="1096"/>
      <c r="T94" s="1096"/>
      <c r="U94" s="1096"/>
      <c r="V94" s="1096"/>
      <c r="W94" s="1096"/>
      <c r="X94" s="1096"/>
      <c r="Y94" s="1096"/>
      <c r="Z94" s="1096"/>
      <c r="AA94" s="1096"/>
      <c r="AB94" s="1096"/>
      <c r="AC94" s="1096"/>
      <c r="AD94" s="1097"/>
    </row>
    <row r="95" spans="2:34" ht="15.75" thickTop="1" x14ac:dyDescent="0.25"/>
    <row r="96" spans="2:34" x14ac:dyDescent="0.25">
      <c r="B96" s="305" t="s">
        <v>110</v>
      </c>
      <c r="C96" s="1073" t="s">
        <v>112</v>
      </c>
      <c r="D96" s="1073"/>
      <c r="E96" s="1074"/>
      <c r="F96" s="1074"/>
      <c r="G96" s="1074"/>
      <c r="H96" s="1074"/>
      <c r="I96" s="1074"/>
      <c r="J96" s="1074"/>
      <c r="K96" s="1074"/>
      <c r="L96" s="1074"/>
      <c r="M96" s="1074"/>
      <c r="N96" s="1074"/>
      <c r="O96" s="1074"/>
      <c r="P96" s="1074"/>
      <c r="Q96" s="1074"/>
      <c r="R96" s="1074"/>
      <c r="S96" s="1074"/>
      <c r="T96" s="1074"/>
      <c r="U96" s="1074"/>
      <c r="V96" s="1074"/>
      <c r="W96" s="1074"/>
      <c r="X96" s="1074"/>
      <c r="Y96" s="1075"/>
    </row>
    <row r="97" spans="2:25" x14ac:dyDescent="0.25">
      <c r="B97" s="306" t="s">
        <v>111</v>
      </c>
      <c r="C97" s="1076">
        <v>41031</v>
      </c>
      <c r="D97" s="1077"/>
      <c r="E97" s="1078"/>
      <c r="F97" s="1078"/>
      <c r="G97" s="1078"/>
      <c r="H97" s="1078"/>
      <c r="I97" s="1078"/>
      <c r="J97" s="1078"/>
      <c r="K97" s="1078"/>
      <c r="L97" s="1078"/>
      <c r="M97" s="1078"/>
      <c r="N97" s="1078"/>
      <c r="O97" s="1078"/>
      <c r="P97" s="1078"/>
      <c r="Q97" s="1078"/>
      <c r="R97" s="1078"/>
      <c r="S97" s="1078"/>
      <c r="T97" s="1078"/>
      <c r="U97" s="1078"/>
      <c r="V97" s="1078"/>
      <c r="W97" s="1078"/>
      <c r="X97" s="1078"/>
      <c r="Y97" s="1079"/>
    </row>
  </sheetData>
  <mergeCells count="46">
    <mergeCell ref="C96:Y96"/>
    <mergeCell ref="C97:Y97"/>
    <mergeCell ref="B90:E93"/>
    <mergeCell ref="Y90:AD90"/>
    <mergeCell ref="Y91:AD91"/>
    <mergeCell ref="Y93:AD93"/>
    <mergeCell ref="B94:AD94"/>
    <mergeCell ref="B1:AH1"/>
    <mergeCell ref="B88:AD88"/>
    <mergeCell ref="B89:AD89"/>
    <mergeCell ref="D75:X75"/>
    <mergeCell ref="Y75:Z75"/>
    <mergeCell ref="AD75:AH75"/>
    <mergeCell ref="Y84:AC84"/>
    <mergeCell ref="Y85:AC85"/>
    <mergeCell ref="AA75:AC75"/>
    <mergeCell ref="D60:X60"/>
    <mergeCell ref="Y60:Z60"/>
    <mergeCell ref="AD60:AH60"/>
    <mergeCell ref="Y69:AC69"/>
    <mergeCell ref="Y70:AC70"/>
    <mergeCell ref="AA60:AC60"/>
    <mergeCell ref="D4:X4"/>
    <mergeCell ref="Y4:Z4"/>
    <mergeCell ref="AD4:AH4"/>
    <mergeCell ref="Y13:AC13"/>
    <mergeCell ref="Y14:AC14"/>
    <mergeCell ref="AA4:AC4"/>
    <mergeCell ref="D18:X18"/>
    <mergeCell ref="Y18:Z18"/>
    <mergeCell ref="AD18:AH18"/>
    <mergeCell ref="Y27:AC27"/>
    <mergeCell ref="Y28:AC28"/>
    <mergeCell ref="AA18:AC18"/>
    <mergeCell ref="D32:X32"/>
    <mergeCell ref="Y32:Z32"/>
    <mergeCell ref="AD32:AH32"/>
    <mergeCell ref="Y41:AC41"/>
    <mergeCell ref="Y42:AC42"/>
    <mergeCell ref="AA32:AC32"/>
    <mergeCell ref="D46:X46"/>
    <mergeCell ref="Y46:Z46"/>
    <mergeCell ref="AD46:AH46"/>
    <mergeCell ref="Y55:AC55"/>
    <mergeCell ref="Y56:AC56"/>
    <mergeCell ref="AA46:AC46"/>
  </mergeCells>
  <conditionalFormatting sqref="AD42 AD28 AD14 AD56 AD70 AD85">
    <cfRule type="cellIs" dxfId="5" priority="13" operator="greaterThan">
      <formula>"0.000001%"</formula>
    </cfRule>
  </conditionalFormatting>
  <conditionalFormatting sqref="AD56 AD70 AD85 AD42 AD28 AD14">
    <cfRule type="cellIs" dxfId="4" priority="1" operator="notBetween">
      <formula>0.001</formula>
      <formula>-0.001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J82"/>
  <sheetViews>
    <sheetView zoomScaleNormal="10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3.7109375" customWidth="1"/>
    <col min="2" max="2" width="16.7109375" bestFit="1" customWidth="1"/>
    <col min="3" max="3" width="10.28515625" bestFit="1" customWidth="1"/>
    <col min="4" max="4" width="10.28515625" customWidth="1"/>
    <col min="5" max="5" width="9.85546875" bestFit="1" customWidth="1"/>
    <col min="6" max="13" width="7.7109375" hidden="1" customWidth="1"/>
    <col min="14" max="14" width="10.7109375" hidden="1" customWidth="1"/>
    <col min="15" max="15" width="6.140625" hidden="1" customWidth="1"/>
    <col min="16" max="17" width="12.140625" hidden="1" customWidth="1"/>
    <col min="18" max="18" width="10.85546875" hidden="1" customWidth="1"/>
    <col min="19" max="19" width="10.28515625" hidden="1" customWidth="1"/>
    <col min="20" max="20" width="10" hidden="1" customWidth="1"/>
    <col min="21" max="21" width="9.7109375" hidden="1" customWidth="1"/>
    <col min="22" max="22" width="9.5703125" hidden="1" customWidth="1"/>
    <col min="23" max="24" width="9.85546875" hidden="1" customWidth="1"/>
    <col min="25" max="25" width="8.85546875" hidden="1" customWidth="1"/>
    <col min="26" max="26" width="6.5703125" hidden="1" customWidth="1"/>
    <col min="27" max="27" width="12" bestFit="1" customWidth="1"/>
    <col min="28" max="28" width="9.85546875" bestFit="1" customWidth="1"/>
    <col min="29" max="29" width="13.42578125" bestFit="1" customWidth="1"/>
    <col min="30" max="30" width="3.42578125" hidden="1" customWidth="1"/>
    <col min="31" max="31" width="6.5703125" bestFit="1" customWidth="1"/>
    <col min="32" max="32" width="16.7109375" bestFit="1" customWidth="1"/>
    <col min="33" max="33" width="12.7109375" hidden="1" customWidth="1"/>
    <col min="34" max="34" width="14.42578125" bestFit="1" customWidth="1"/>
    <col min="35" max="35" width="12.7109375" hidden="1" customWidth="1"/>
    <col min="36" max="36" width="9.85546875" bestFit="1" customWidth="1"/>
  </cols>
  <sheetData>
    <row r="1" spans="2:36" ht="19.5" thickBot="1" x14ac:dyDescent="0.3">
      <c r="B1" s="1040" t="s">
        <v>153</v>
      </c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1041"/>
      <c r="Z1" s="1041"/>
      <c r="AA1" s="1041"/>
      <c r="AB1" s="1041"/>
      <c r="AC1" s="1041"/>
      <c r="AD1" s="1041"/>
      <c r="AE1" s="1041"/>
      <c r="AF1" s="1041"/>
      <c r="AG1" s="1041"/>
      <c r="AH1" s="1041"/>
      <c r="AI1" s="1041"/>
      <c r="AJ1" s="1042"/>
    </row>
    <row r="3" spans="2:36" ht="15.75" thickBot="1" x14ac:dyDescent="0.3"/>
    <row r="4" spans="2:36" ht="20.25" thickTop="1" thickBot="1" x14ac:dyDescent="0.3">
      <c r="B4" s="359" t="s">
        <v>121</v>
      </c>
      <c r="C4" s="360" t="s">
        <v>126</v>
      </c>
      <c r="D4" s="1100" t="s">
        <v>145</v>
      </c>
      <c r="E4" s="1101"/>
      <c r="F4" s="926" t="s">
        <v>28</v>
      </c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5"/>
      <c r="AA4" s="924" t="s">
        <v>13</v>
      </c>
      <c r="AB4" s="925"/>
      <c r="AC4" s="1037"/>
      <c r="AD4" s="1038"/>
      <c r="AE4" s="1039"/>
      <c r="AF4" s="924" t="s">
        <v>14</v>
      </c>
      <c r="AG4" s="926"/>
      <c r="AH4" s="926"/>
      <c r="AI4" s="926"/>
      <c r="AJ4" s="925"/>
    </row>
    <row r="5" spans="2:36" ht="48" customHeight="1" thickBot="1" x14ac:dyDescent="0.3">
      <c r="B5" s="361"/>
      <c r="C5" s="362" t="s">
        <v>57</v>
      </c>
      <c r="D5" s="411" t="s">
        <v>145</v>
      </c>
      <c r="E5" s="412" t="s">
        <v>12</v>
      </c>
      <c r="F5" s="366" t="s">
        <v>59</v>
      </c>
      <c r="G5" s="365" t="s">
        <v>60</v>
      </c>
      <c r="H5" s="365" t="s">
        <v>61</v>
      </c>
      <c r="I5" s="365" t="s">
        <v>62</v>
      </c>
      <c r="J5" s="365" t="s">
        <v>63</v>
      </c>
      <c r="K5" s="365" t="s">
        <v>64</v>
      </c>
      <c r="L5" s="365" t="s">
        <v>41</v>
      </c>
      <c r="M5" s="365" t="s">
        <v>65</v>
      </c>
      <c r="N5" s="365" t="s">
        <v>66</v>
      </c>
      <c r="O5" s="365" t="s">
        <v>44</v>
      </c>
      <c r="P5" s="365" t="s">
        <v>67</v>
      </c>
      <c r="Q5" s="365" t="s">
        <v>68</v>
      </c>
      <c r="R5" s="365" t="s">
        <v>69</v>
      </c>
      <c r="S5" s="365" t="s">
        <v>70</v>
      </c>
      <c r="T5" s="365" t="s">
        <v>71</v>
      </c>
      <c r="U5" s="365" t="s">
        <v>131</v>
      </c>
      <c r="V5" s="365" t="s">
        <v>72</v>
      </c>
      <c r="W5" s="365" t="s">
        <v>73</v>
      </c>
      <c r="X5" s="365" t="s">
        <v>150</v>
      </c>
      <c r="Y5" s="365" t="s">
        <v>36</v>
      </c>
      <c r="Z5" s="366" t="s">
        <v>74</v>
      </c>
      <c r="AA5" s="367" t="s">
        <v>24</v>
      </c>
      <c r="AB5" s="368" t="s">
        <v>12</v>
      </c>
      <c r="AC5" s="369" t="s">
        <v>9</v>
      </c>
      <c r="AD5" s="370"/>
      <c r="AE5" s="371" t="s">
        <v>10</v>
      </c>
      <c r="AF5" s="367" t="s">
        <v>11</v>
      </c>
      <c r="AG5" s="372"/>
      <c r="AH5" s="362" t="s">
        <v>151</v>
      </c>
      <c r="AI5" s="373"/>
      <c r="AJ5" s="371" t="s">
        <v>12</v>
      </c>
    </row>
    <row r="6" spans="2:36" ht="17.100000000000001" customHeight="1" x14ac:dyDescent="0.25">
      <c r="B6" s="374" t="s">
        <v>75</v>
      </c>
      <c r="C6" s="375" t="s">
        <v>77</v>
      </c>
      <c r="D6" s="413">
        <v>667</v>
      </c>
      <c r="E6" s="382" t="s">
        <v>146</v>
      </c>
      <c r="F6" s="376">
        <v>67</v>
      </c>
      <c r="G6" s="377">
        <v>15</v>
      </c>
      <c r="H6" s="377">
        <v>56</v>
      </c>
      <c r="I6" s="377"/>
      <c r="J6" s="377"/>
      <c r="K6" s="377"/>
      <c r="L6" s="377">
        <v>99</v>
      </c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6"/>
      <c r="AA6" s="378">
        <f>L6*SQRT(((F6+G6+H6)/2)*(((F6+G6+H6)/2)-F6)*(((F6+G6+H6)/2)-G6)*(((F6+G6+H6)/2)-H6))*D6/0.45359237</f>
        <v>45310972.89299617</v>
      </c>
      <c r="AB6" s="379" t="s">
        <v>140</v>
      </c>
      <c r="AC6" s="376" t="s">
        <v>23</v>
      </c>
      <c r="AD6" s="377">
        <f t="shared" ref="AD6:AD10" si="0">IF(AC6="PLUS",1,IF(AC6="MINUS",-1,0))</f>
        <v>0</v>
      </c>
      <c r="AE6" s="380">
        <v>88</v>
      </c>
      <c r="AF6" s="381">
        <f>AA6</f>
        <v>45310972.89299617</v>
      </c>
      <c r="AG6" s="382">
        <f t="shared" ref="AG6:AG10" si="1">AD6*AE6*AF6</f>
        <v>0</v>
      </c>
      <c r="AH6" s="375">
        <v>45310973</v>
      </c>
      <c r="AI6" s="376">
        <f t="shared" ref="AI6:AI10" si="2">AD6*AE6*AH6</f>
        <v>0</v>
      </c>
      <c r="AJ6" s="380" t="s">
        <v>140</v>
      </c>
    </row>
    <row r="7" spans="2:36" ht="17.100000000000001" customHeight="1" x14ac:dyDescent="0.25">
      <c r="B7" s="383" t="s">
        <v>119</v>
      </c>
      <c r="C7" s="384" t="s">
        <v>122</v>
      </c>
      <c r="D7" s="414">
        <v>988</v>
      </c>
      <c r="E7" s="391" t="s">
        <v>149</v>
      </c>
      <c r="F7" s="385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>
        <f>Y7/2</f>
        <v>44.5</v>
      </c>
      <c r="W7" s="386"/>
      <c r="X7" s="386"/>
      <c r="Y7" s="386">
        <v>89</v>
      </c>
      <c r="Z7" s="385"/>
      <c r="AA7" s="387">
        <f>(4/3)*PI()*V7^3*D7*1000*1000/31.1034768</f>
        <v>11725102525256.598</v>
      </c>
      <c r="AB7" s="388" t="s">
        <v>141</v>
      </c>
      <c r="AC7" s="385" t="s">
        <v>22</v>
      </c>
      <c r="AD7" s="386">
        <f t="shared" si="0"/>
        <v>1</v>
      </c>
      <c r="AE7" s="389">
        <v>45</v>
      </c>
      <c r="AF7" s="390">
        <f>AA7*31.1034768/1000/0.45359237</f>
        <v>804007030303.30957</v>
      </c>
      <c r="AG7" s="391">
        <f t="shared" si="1"/>
        <v>36180316363648.93</v>
      </c>
      <c r="AH7" s="384">
        <v>804007030303</v>
      </c>
      <c r="AI7" s="385">
        <f t="shared" si="2"/>
        <v>36180316363635</v>
      </c>
      <c r="AJ7" s="389" t="s">
        <v>140</v>
      </c>
    </row>
    <row r="8" spans="2:36" ht="17.100000000000001" customHeight="1" x14ac:dyDescent="0.25">
      <c r="B8" s="383" t="s">
        <v>102</v>
      </c>
      <c r="C8" s="384" t="s">
        <v>123</v>
      </c>
      <c r="D8" s="414">
        <v>340</v>
      </c>
      <c r="E8" s="391" t="s">
        <v>147</v>
      </c>
      <c r="F8" s="385">
        <v>45</v>
      </c>
      <c r="G8" s="386">
        <v>37</v>
      </c>
      <c r="H8" s="386">
        <f>SQRT(Q8^2-F8^2)</f>
        <v>63.710281744785902</v>
      </c>
      <c r="I8" s="386"/>
      <c r="J8" s="386"/>
      <c r="K8" s="386"/>
      <c r="L8" s="386"/>
      <c r="M8" s="386"/>
      <c r="N8" s="386"/>
      <c r="O8" s="386"/>
      <c r="P8" s="386"/>
      <c r="Q8" s="386">
        <v>78</v>
      </c>
      <c r="R8" s="386"/>
      <c r="S8" s="386"/>
      <c r="T8" s="386"/>
      <c r="U8" s="386"/>
      <c r="V8" s="386"/>
      <c r="W8" s="386"/>
      <c r="X8" s="386"/>
      <c r="Y8" s="386"/>
      <c r="Z8" s="385"/>
      <c r="AA8" s="387">
        <f>F8*G8*H8*D8*1000/1000</f>
        <v>36066390.4957233</v>
      </c>
      <c r="AB8" s="388" t="s">
        <v>144</v>
      </c>
      <c r="AC8" s="385" t="s">
        <v>21</v>
      </c>
      <c r="AD8" s="386">
        <f t="shared" si="0"/>
        <v>-1</v>
      </c>
      <c r="AE8" s="389">
        <v>456</v>
      </c>
      <c r="AF8" s="390">
        <f>AA8/0.45359237*1000</f>
        <v>79512780375.303268</v>
      </c>
      <c r="AG8" s="391">
        <f t="shared" si="1"/>
        <v>-36257827851138.289</v>
      </c>
      <c r="AH8" s="384">
        <v>79512780375</v>
      </c>
      <c r="AI8" s="385">
        <f t="shared" si="2"/>
        <v>-36257827851000</v>
      </c>
      <c r="AJ8" s="389" t="s">
        <v>140</v>
      </c>
    </row>
    <row r="9" spans="2:36" ht="17.100000000000001" customHeight="1" x14ac:dyDescent="0.25">
      <c r="B9" s="383" t="s">
        <v>106</v>
      </c>
      <c r="C9" s="384" t="s">
        <v>124</v>
      </c>
      <c r="D9" s="414">
        <v>455</v>
      </c>
      <c r="E9" s="391" t="s">
        <v>149</v>
      </c>
      <c r="F9" s="385"/>
      <c r="G9" s="386"/>
      <c r="H9" s="386"/>
      <c r="I9" s="386"/>
      <c r="J9" s="386"/>
      <c r="K9" s="386"/>
      <c r="L9" s="386">
        <v>112</v>
      </c>
      <c r="M9" s="386"/>
      <c r="N9" s="386"/>
      <c r="O9" s="386"/>
      <c r="P9" s="386"/>
      <c r="Q9" s="386"/>
      <c r="R9" s="386"/>
      <c r="S9" s="386"/>
      <c r="T9" s="386"/>
      <c r="U9" s="386"/>
      <c r="V9" s="386">
        <v>37</v>
      </c>
      <c r="W9" s="386"/>
      <c r="X9" s="386"/>
      <c r="Y9" s="386"/>
      <c r="Z9" s="385"/>
      <c r="AA9" s="387">
        <f>PI()*V9^2*L9*D9*1000/1000</f>
        <v>219170823.86727521</v>
      </c>
      <c r="AB9" s="388" t="s">
        <v>142</v>
      </c>
      <c r="AC9" s="385" t="s">
        <v>23</v>
      </c>
      <c r="AD9" s="386">
        <f t="shared" si="0"/>
        <v>0</v>
      </c>
      <c r="AE9" s="389">
        <v>16</v>
      </c>
      <c r="AF9" s="390">
        <f>AA9/0.45359237*1000</f>
        <v>483188956347.0285</v>
      </c>
      <c r="AG9" s="391">
        <f t="shared" si="1"/>
        <v>0</v>
      </c>
      <c r="AH9" s="384">
        <v>483188956347</v>
      </c>
      <c r="AI9" s="385">
        <f t="shared" si="2"/>
        <v>0</v>
      </c>
      <c r="AJ9" s="389" t="s">
        <v>140</v>
      </c>
    </row>
    <row r="10" spans="2:36" ht="17.100000000000001" customHeight="1" thickBot="1" x14ac:dyDescent="0.3">
      <c r="B10" s="392" t="s">
        <v>86</v>
      </c>
      <c r="C10" s="393" t="s">
        <v>88</v>
      </c>
      <c r="D10" s="415">
        <v>1566</v>
      </c>
      <c r="E10" s="400" t="s">
        <v>148</v>
      </c>
      <c r="F10" s="394">
        <v>78</v>
      </c>
      <c r="G10" s="395">
        <v>45</v>
      </c>
      <c r="H10" s="395"/>
      <c r="I10" s="395"/>
      <c r="J10" s="395">
        <v>13</v>
      </c>
      <c r="K10" s="395">
        <f>G10*(N10/(L10+N10))</f>
        <v>7.5</v>
      </c>
      <c r="L10" s="395">
        <v>233</v>
      </c>
      <c r="M10" s="395"/>
      <c r="N10" s="395">
        <f>L10*(J10/(F10-J10))</f>
        <v>46.6</v>
      </c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4"/>
      <c r="AA10" s="396">
        <f>((L10/3)*((F10*G10)+SQRT((F10*G10)*(J10*K10))+J10*K10))*D10*0.45359237/0.3048^3*1000</f>
        <v>8168086868351.9492</v>
      </c>
      <c r="AB10" s="397" t="s">
        <v>143</v>
      </c>
      <c r="AC10" s="394" t="s">
        <v>22</v>
      </c>
      <c r="AD10" s="395">
        <f t="shared" si="0"/>
        <v>1</v>
      </c>
      <c r="AE10" s="398">
        <v>7</v>
      </c>
      <c r="AF10" s="399">
        <f>AA10/1000/0.45359237</f>
        <v>18007549087.19463</v>
      </c>
      <c r="AG10" s="400">
        <f t="shared" si="1"/>
        <v>126052843610.36241</v>
      </c>
      <c r="AH10" s="393">
        <v>18007549087</v>
      </c>
      <c r="AI10" s="394">
        <f t="shared" si="2"/>
        <v>126052843609</v>
      </c>
      <c r="AJ10" s="398" t="s">
        <v>140</v>
      </c>
    </row>
    <row r="11" spans="2:36" ht="15.75" thickBot="1" x14ac:dyDescent="0.3">
      <c r="B11" s="401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403"/>
      <c r="AA11" s="402"/>
      <c r="AB11" s="402"/>
      <c r="AC11" s="402"/>
      <c r="AD11" s="402"/>
      <c r="AE11" s="402"/>
      <c r="AF11" s="402"/>
      <c r="AG11" s="402"/>
      <c r="AH11" s="402"/>
      <c r="AI11" s="402"/>
      <c r="AJ11" s="403"/>
    </row>
    <row r="12" spans="2:36" ht="16.5" thickTop="1" thickBot="1" x14ac:dyDescent="0.3">
      <c r="B12" s="401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3"/>
      <c r="AA12" s="1031" t="s">
        <v>15</v>
      </c>
      <c r="AB12" s="1032"/>
      <c r="AC12" s="1032"/>
      <c r="AD12" s="1032"/>
      <c r="AE12" s="1033"/>
      <c r="AF12" s="404">
        <f>SUM(AG6:AG10)</f>
        <v>48541356121.003036</v>
      </c>
      <c r="AG12" s="405">
        <f>SUM(AG6:AG10)</f>
        <v>48541356121.003036</v>
      </c>
      <c r="AH12" s="405">
        <f>SUM(AI6:AI10)</f>
        <v>48541356244</v>
      </c>
      <c r="AI12" s="406">
        <f>SUM(AI6:AI11)</f>
        <v>48541356244</v>
      </c>
      <c r="AJ12" s="405" t="s">
        <v>140</v>
      </c>
    </row>
    <row r="13" spans="2:36" ht="16.5" thickBot="1" x14ac:dyDescent="0.3">
      <c r="B13" s="407"/>
      <c r="C13" s="408"/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  <c r="U13" s="408"/>
      <c r="V13" s="408"/>
      <c r="W13" s="408"/>
      <c r="X13" s="408"/>
      <c r="Y13" s="408"/>
      <c r="Z13" s="409"/>
      <c r="AA13" s="1034" t="s">
        <v>26</v>
      </c>
      <c r="AB13" s="1035"/>
      <c r="AC13" s="1035"/>
      <c r="AD13" s="1035"/>
      <c r="AE13" s="1036"/>
      <c r="AF13" s="410">
        <f xml:space="preserve"> (AF12-AH12)/AF12</f>
        <v>-2.5338592352956085E-9</v>
      </c>
      <c r="AG13" s="408"/>
      <c r="AH13" s="408"/>
      <c r="AI13" s="408"/>
      <c r="AJ13" s="409"/>
    </row>
    <row r="14" spans="2:36" ht="15.75" thickTop="1" x14ac:dyDescent="0.25"/>
    <row r="17" spans="2:36" ht="15.75" thickBot="1" x14ac:dyDescent="0.3"/>
    <row r="18" spans="2:36" ht="20.25" thickTop="1" thickBot="1" x14ac:dyDescent="0.3">
      <c r="B18" s="504" t="s">
        <v>121</v>
      </c>
      <c r="C18" s="505" t="s">
        <v>126</v>
      </c>
      <c r="D18" s="1102" t="s">
        <v>145</v>
      </c>
      <c r="E18" s="1103"/>
      <c r="F18" s="908" t="s">
        <v>28</v>
      </c>
      <c r="G18" s="908"/>
      <c r="H18" s="908"/>
      <c r="I18" s="908"/>
      <c r="J18" s="908"/>
      <c r="K18" s="908"/>
      <c r="L18" s="908"/>
      <c r="M18" s="908"/>
      <c r="N18" s="908"/>
      <c r="O18" s="908"/>
      <c r="P18" s="908"/>
      <c r="Q18" s="908"/>
      <c r="R18" s="908"/>
      <c r="S18" s="908"/>
      <c r="T18" s="908"/>
      <c r="U18" s="908"/>
      <c r="V18" s="908"/>
      <c r="W18" s="908"/>
      <c r="X18" s="908"/>
      <c r="Y18" s="908"/>
      <c r="Z18" s="907"/>
      <c r="AA18" s="906" t="s">
        <v>13</v>
      </c>
      <c r="AB18" s="907"/>
      <c r="AC18" s="1028"/>
      <c r="AD18" s="1029"/>
      <c r="AE18" s="1030"/>
      <c r="AF18" s="906" t="s">
        <v>14</v>
      </c>
      <c r="AG18" s="908"/>
      <c r="AH18" s="908"/>
      <c r="AI18" s="908"/>
      <c r="AJ18" s="907"/>
    </row>
    <row r="19" spans="2:36" ht="48" customHeight="1" thickBot="1" x14ac:dyDescent="0.3">
      <c r="B19" s="506"/>
      <c r="C19" s="507" t="s">
        <v>57</v>
      </c>
      <c r="D19" s="529" t="s">
        <v>145</v>
      </c>
      <c r="E19" s="530" t="s">
        <v>12</v>
      </c>
      <c r="F19" s="511" t="s">
        <v>59</v>
      </c>
      <c r="G19" s="510" t="s">
        <v>60</v>
      </c>
      <c r="H19" s="510" t="s">
        <v>61</v>
      </c>
      <c r="I19" s="510" t="s">
        <v>62</v>
      </c>
      <c r="J19" s="510" t="s">
        <v>63</v>
      </c>
      <c r="K19" s="510" t="s">
        <v>64</v>
      </c>
      <c r="L19" s="510" t="s">
        <v>41</v>
      </c>
      <c r="M19" s="510" t="s">
        <v>65</v>
      </c>
      <c r="N19" s="510" t="s">
        <v>66</v>
      </c>
      <c r="O19" s="510" t="s">
        <v>44</v>
      </c>
      <c r="P19" s="510" t="s">
        <v>67</v>
      </c>
      <c r="Q19" s="510" t="s">
        <v>68</v>
      </c>
      <c r="R19" s="510" t="s">
        <v>69</v>
      </c>
      <c r="S19" s="510" t="s">
        <v>70</v>
      </c>
      <c r="T19" s="510" t="s">
        <v>71</v>
      </c>
      <c r="U19" s="510" t="s">
        <v>131</v>
      </c>
      <c r="V19" s="510" t="s">
        <v>72</v>
      </c>
      <c r="W19" s="510" t="s">
        <v>73</v>
      </c>
      <c r="X19" s="510" t="s">
        <v>150</v>
      </c>
      <c r="Y19" s="510" t="s">
        <v>36</v>
      </c>
      <c r="Z19" s="511" t="s">
        <v>74</v>
      </c>
      <c r="AA19" s="512" t="s">
        <v>24</v>
      </c>
      <c r="AB19" s="513" t="s">
        <v>12</v>
      </c>
      <c r="AC19" s="514" t="s">
        <v>9</v>
      </c>
      <c r="AD19" s="515"/>
      <c r="AE19" s="516" t="s">
        <v>10</v>
      </c>
      <c r="AF19" s="512" t="s">
        <v>11</v>
      </c>
      <c r="AG19" s="517"/>
      <c r="AH19" s="507" t="s">
        <v>151</v>
      </c>
      <c r="AI19" s="518"/>
      <c r="AJ19" s="516" t="s">
        <v>12</v>
      </c>
    </row>
    <row r="20" spans="2:36" ht="17.100000000000001" customHeight="1" x14ac:dyDescent="0.25">
      <c r="B20" s="338" t="s">
        <v>94</v>
      </c>
      <c r="C20" s="339" t="s">
        <v>127</v>
      </c>
      <c r="D20" s="336">
        <v>877</v>
      </c>
      <c r="E20" s="337" t="s">
        <v>148</v>
      </c>
      <c r="F20" s="340">
        <v>59</v>
      </c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0"/>
      <c r="AA20" s="342">
        <f>F20^3*(D20*(0.45359237/0.3048^3))/0.45359237</f>
        <v>6360785351.3917141</v>
      </c>
      <c r="AB20" s="343" t="s">
        <v>140</v>
      </c>
      <c r="AC20" s="340" t="s">
        <v>21</v>
      </c>
      <c r="AD20" s="341">
        <f t="shared" ref="AD20:AD24" si="3">IF(AC20="PLUS",1,IF(AC20="MINUS",-1,0))</f>
        <v>-1</v>
      </c>
      <c r="AE20" s="344">
        <v>67</v>
      </c>
      <c r="AF20" s="345">
        <f>AA20*0.45359237*1000/31.1034768</f>
        <v>92761453041.129166</v>
      </c>
      <c r="AG20" s="334">
        <f t="shared" ref="AG20:AG24" si="4">AD20*AE20*AF20</f>
        <v>-6215017353755.6543</v>
      </c>
      <c r="AH20" s="339">
        <v>92761453041</v>
      </c>
      <c r="AI20" s="340">
        <f t="shared" ref="AI20:AI24" si="5">AD20*AE20*AH20</f>
        <v>-6215017353747</v>
      </c>
      <c r="AJ20" s="344" t="s">
        <v>141</v>
      </c>
    </row>
    <row r="21" spans="2:36" ht="17.100000000000001" customHeight="1" x14ac:dyDescent="0.25">
      <c r="B21" s="325" t="s">
        <v>129</v>
      </c>
      <c r="C21" s="326" t="s">
        <v>107</v>
      </c>
      <c r="D21" s="335">
        <v>1200</v>
      </c>
      <c r="E21" s="333" t="s">
        <v>148</v>
      </c>
      <c r="F21" s="327"/>
      <c r="G21" s="328"/>
      <c r="H21" s="328"/>
      <c r="I21" s="328"/>
      <c r="J21" s="328"/>
      <c r="K21" s="328"/>
      <c r="L21" s="328">
        <v>76</v>
      </c>
      <c r="M21" s="328"/>
      <c r="N21" s="328"/>
      <c r="O21" s="328"/>
      <c r="P21" s="328"/>
      <c r="Q21" s="328"/>
      <c r="R21" s="328"/>
      <c r="S21" s="328"/>
      <c r="T21" s="328"/>
      <c r="U21" s="328"/>
      <c r="V21" s="328">
        <f>Y21/2</f>
        <v>83</v>
      </c>
      <c r="W21" s="328">
        <f>SQRT(V21^2-(V21-L21)^2)</f>
        <v>82.704292512541329</v>
      </c>
      <c r="X21" s="328"/>
      <c r="Y21" s="328">
        <v>166</v>
      </c>
      <c r="Z21" s="327"/>
      <c r="AA21" s="329">
        <f>(((PI()*L21)/6)*(3*W21^2+L21^2))*D21*(0.45359237/0.3048^3)*1000/31.1034768</f>
        <v>646688393309.31067</v>
      </c>
      <c r="AB21" s="330" t="s">
        <v>141</v>
      </c>
      <c r="AC21" s="327" t="s">
        <v>80</v>
      </c>
      <c r="AD21" s="328">
        <f t="shared" si="3"/>
        <v>0</v>
      </c>
      <c r="AE21" s="331">
        <v>67</v>
      </c>
      <c r="AF21" s="332">
        <f>AA21</f>
        <v>646688393309.31067</v>
      </c>
      <c r="AG21" s="333">
        <f t="shared" si="4"/>
        <v>0</v>
      </c>
      <c r="AH21" s="326">
        <v>646688393309</v>
      </c>
      <c r="AI21" s="327">
        <f t="shared" si="5"/>
        <v>0</v>
      </c>
      <c r="AJ21" s="331" t="s">
        <v>141</v>
      </c>
    </row>
    <row r="22" spans="2:36" ht="17.100000000000001" customHeight="1" x14ac:dyDescent="0.25">
      <c r="B22" s="325" t="s">
        <v>128</v>
      </c>
      <c r="C22" s="326" t="s">
        <v>124</v>
      </c>
      <c r="D22" s="335">
        <v>978</v>
      </c>
      <c r="E22" s="452" t="s">
        <v>146</v>
      </c>
      <c r="F22" s="327"/>
      <c r="G22" s="328"/>
      <c r="H22" s="328"/>
      <c r="I22" s="328"/>
      <c r="J22" s="328"/>
      <c r="K22" s="328"/>
      <c r="L22" s="328"/>
      <c r="M22" s="328">
        <v>80</v>
      </c>
      <c r="N22" s="328"/>
      <c r="O22" s="328"/>
      <c r="P22" s="328"/>
      <c r="Q22" s="328"/>
      <c r="R22" s="328"/>
      <c r="S22" s="328"/>
      <c r="T22" s="328"/>
      <c r="U22" s="328"/>
      <c r="V22" s="328">
        <v>170</v>
      </c>
      <c r="W22" s="328">
        <f>SQRT(V22^2-(V22-M22)^2)</f>
        <v>144.22205101855957</v>
      </c>
      <c r="X22" s="328"/>
      <c r="Y22" s="328"/>
      <c r="Z22" s="327"/>
      <c r="AA22" s="329">
        <f>((((PI()*M22)/6)*(3*W22^2+M22^2))+((PI()*(V22-M22)*W22^2)/3))*D22/1000</f>
        <v>4735712.1642449405</v>
      </c>
      <c r="AB22" s="330" t="s">
        <v>144</v>
      </c>
      <c r="AC22" s="327" t="s">
        <v>21</v>
      </c>
      <c r="AD22" s="328">
        <f t="shared" si="3"/>
        <v>-1</v>
      </c>
      <c r="AE22" s="331">
        <v>16</v>
      </c>
      <c r="AF22" s="332">
        <f>AA22*1000*1000/31.1034768</f>
        <v>152256681614.60782</v>
      </c>
      <c r="AG22" s="333">
        <f t="shared" si="4"/>
        <v>-2436106905833.7251</v>
      </c>
      <c r="AH22" s="326">
        <v>152256681615</v>
      </c>
      <c r="AI22" s="327">
        <f t="shared" si="5"/>
        <v>-2436106905840</v>
      </c>
      <c r="AJ22" s="331" t="s">
        <v>141</v>
      </c>
    </row>
    <row r="23" spans="2:36" ht="17.100000000000001" customHeight="1" x14ac:dyDescent="0.25">
      <c r="B23" s="325" t="s">
        <v>98</v>
      </c>
      <c r="C23" s="326" t="s">
        <v>132</v>
      </c>
      <c r="D23" s="335">
        <v>455</v>
      </c>
      <c r="E23" s="333" t="s">
        <v>149</v>
      </c>
      <c r="F23" s="327"/>
      <c r="G23" s="328"/>
      <c r="H23" s="328"/>
      <c r="I23" s="328"/>
      <c r="J23" s="328"/>
      <c r="K23" s="328"/>
      <c r="L23" s="328">
        <v>166</v>
      </c>
      <c r="M23" s="328"/>
      <c r="N23" s="328"/>
      <c r="O23" s="328"/>
      <c r="P23" s="328"/>
      <c r="Q23" s="328"/>
      <c r="R23" s="328"/>
      <c r="S23" s="328"/>
      <c r="T23" s="328"/>
      <c r="U23" s="328"/>
      <c r="V23" s="328">
        <v>56</v>
      </c>
      <c r="W23" s="328">
        <v>189</v>
      </c>
      <c r="X23" s="328"/>
      <c r="Y23" s="328"/>
      <c r="Z23" s="327"/>
      <c r="AA23" s="329">
        <f>((PI()*L23)/3)*(V23^2+V23*W23+W23^2)*D23*1000</f>
        <v>3910527541541.5415</v>
      </c>
      <c r="AB23" s="330" t="s">
        <v>142</v>
      </c>
      <c r="AC23" s="327" t="s">
        <v>22</v>
      </c>
      <c r="AD23" s="328">
        <f t="shared" si="3"/>
        <v>1</v>
      </c>
      <c r="AE23" s="331">
        <v>9</v>
      </c>
      <c r="AF23" s="332">
        <f>AA23*1000/31.1034768</f>
        <v>125726379937741.94</v>
      </c>
      <c r="AG23" s="333">
        <f t="shared" si="4"/>
        <v>1131537419439677.5</v>
      </c>
      <c r="AH23" s="326">
        <v>125726379937742</v>
      </c>
      <c r="AI23" s="327">
        <f t="shared" si="5"/>
        <v>1131537419439678</v>
      </c>
      <c r="AJ23" s="331" t="s">
        <v>141</v>
      </c>
    </row>
    <row r="24" spans="2:36" ht="17.100000000000001" customHeight="1" thickBot="1" x14ac:dyDescent="0.3">
      <c r="B24" s="346" t="s">
        <v>75</v>
      </c>
      <c r="C24" s="347" t="s">
        <v>77</v>
      </c>
      <c r="D24" s="348">
        <v>399</v>
      </c>
      <c r="E24" s="349" t="s">
        <v>147</v>
      </c>
      <c r="F24" s="350">
        <v>67</v>
      </c>
      <c r="G24" s="351">
        <v>68</v>
      </c>
      <c r="H24" s="351">
        <v>56</v>
      </c>
      <c r="I24" s="351"/>
      <c r="J24" s="351"/>
      <c r="K24" s="351"/>
      <c r="L24" s="351">
        <v>233</v>
      </c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0"/>
      <c r="AA24" s="352">
        <f>L24*SQRT(((F24+G24+H24)/2)*(((F24+G24+H24)/2)-F24)*(((F24+G24+H24)/2)-G24)*(((F24+G24+H24)/2)-H24))*D24*1000*1000</f>
        <v>159851909044942.75</v>
      </c>
      <c r="AB24" s="353" t="s">
        <v>143</v>
      </c>
      <c r="AC24" s="350" t="s">
        <v>21</v>
      </c>
      <c r="AD24" s="351">
        <f t="shared" si="3"/>
        <v>-1</v>
      </c>
      <c r="AE24" s="354">
        <v>17</v>
      </c>
      <c r="AF24" s="355">
        <f>AA24/1000*1000/31.1034768</f>
        <v>5139358216215.3252</v>
      </c>
      <c r="AG24" s="349">
        <f t="shared" si="4"/>
        <v>-87369089675660.531</v>
      </c>
      <c r="AH24" s="347">
        <v>5139358216215</v>
      </c>
      <c r="AI24" s="350">
        <f t="shared" si="5"/>
        <v>-87369089675655</v>
      </c>
      <c r="AJ24" s="354" t="s">
        <v>141</v>
      </c>
    </row>
    <row r="25" spans="2:36" ht="15.75" thickBot="1" x14ac:dyDescent="0.3">
      <c r="B25" s="519"/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1"/>
      <c r="AA25" s="520"/>
      <c r="AB25" s="520"/>
      <c r="AC25" s="520"/>
      <c r="AD25" s="520"/>
      <c r="AE25" s="520"/>
      <c r="AF25" s="520"/>
      <c r="AG25" s="520"/>
      <c r="AH25" s="520"/>
      <c r="AI25" s="520"/>
      <c r="AJ25" s="521"/>
    </row>
    <row r="26" spans="2:36" ht="16.5" thickTop="1" thickBot="1" x14ac:dyDescent="0.3">
      <c r="B26" s="519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1"/>
      <c r="AA26" s="1022" t="s">
        <v>15</v>
      </c>
      <c r="AB26" s="1023"/>
      <c r="AC26" s="1023"/>
      <c r="AD26" s="1023"/>
      <c r="AE26" s="1024"/>
      <c r="AF26" s="522">
        <f>SUM(AG20:AG24)</f>
        <v>1035517205504427.6</v>
      </c>
      <c r="AG26" s="523">
        <f>SUM(AG20:AG24)</f>
        <v>1035517205504427.6</v>
      </c>
      <c r="AH26" s="523">
        <f>SUM(AI20:AI24)</f>
        <v>1035517205504436</v>
      </c>
      <c r="AI26" s="524">
        <f>SUM(AI20:AI25)</f>
        <v>1035517205504436</v>
      </c>
      <c r="AJ26" s="523" t="s">
        <v>141</v>
      </c>
    </row>
    <row r="27" spans="2:36" ht="16.5" thickBot="1" x14ac:dyDescent="0.3">
      <c r="B27" s="525"/>
      <c r="C27" s="526"/>
      <c r="D27" s="526"/>
      <c r="E27" s="526"/>
      <c r="F27" s="526"/>
      <c r="G27" s="526"/>
      <c r="H27" s="526"/>
      <c r="I27" s="526"/>
      <c r="J27" s="526"/>
      <c r="K27" s="526"/>
      <c r="L27" s="526"/>
      <c r="M27" s="526"/>
      <c r="N27" s="526"/>
      <c r="O27" s="526"/>
      <c r="P27" s="526"/>
      <c r="Q27" s="526"/>
      <c r="R27" s="526"/>
      <c r="S27" s="526"/>
      <c r="T27" s="526"/>
      <c r="U27" s="526"/>
      <c r="V27" s="526"/>
      <c r="W27" s="526"/>
      <c r="X27" s="526"/>
      <c r="Y27" s="526"/>
      <c r="Z27" s="527"/>
      <c r="AA27" s="1025" t="s">
        <v>26</v>
      </c>
      <c r="AB27" s="1026"/>
      <c r="AC27" s="1026"/>
      <c r="AD27" s="1026"/>
      <c r="AE27" s="1027"/>
      <c r="AF27" s="528">
        <f xml:space="preserve"> (AF26-AH26)/AF26</f>
        <v>-8.0877458679407627E-15</v>
      </c>
      <c r="AG27" s="526"/>
      <c r="AH27" s="526"/>
      <c r="AI27" s="526"/>
      <c r="AJ27" s="527"/>
    </row>
    <row r="28" spans="2:36" ht="15.75" thickTop="1" x14ac:dyDescent="0.25"/>
    <row r="29" spans="2:36" x14ac:dyDescent="0.25">
      <c r="AH29" s="453"/>
    </row>
    <row r="31" spans="2:36" ht="15.75" thickBot="1" x14ac:dyDescent="0.3"/>
    <row r="32" spans="2:36" ht="20.25" thickTop="1" thickBot="1" x14ac:dyDescent="0.3">
      <c r="B32" s="583" t="s">
        <v>121</v>
      </c>
      <c r="C32" s="584" t="s">
        <v>126</v>
      </c>
      <c r="D32" s="1104" t="s">
        <v>145</v>
      </c>
      <c r="E32" s="1105"/>
      <c r="F32" s="1010" t="s">
        <v>28</v>
      </c>
      <c r="G32" s="1010"/>
      <c r="H32" s="1010"/>
      <c r="I32" s="1010"/>
      <c r="J32" s="1010"/>
      <c r="K32" s="1010"/>
      <c r="L32" s="1010"/>
      <c r="M32" s="1010"/>
      <c r="N32" s="1010"/>
      <c r="O32" s="1010"/>
      <c r="P32" s="1010"/>
      <c r="Q32" s="1010"/>
      <c r="R32" s="1010"/>
      <c r="S32" s="1010"/>
      <c r="T32" s="1010"/>
      <c r="U32" s="1010"/>
      <c r="V32" s="1010"/>
      <c r="W32" s="1010"/>
      <c r="X32" s="1010"/>
      <c r="Y32" s="1010"/>
      <c r="Z32" s="1011"/>
      <c r="AA32" s="1012" t="s">
        <v>13</v>
      </c>
      <c r="AB32" s="1011"/>
      <c r="AC32" s="1019"/>
      <c r="AD32" s="1020"/>
      <c r="AE32" s="1021"/>
      <c r="AF32" s="1012" t="s">
        <v>14</v>
      </c>
      <c r="AG32" s="1010"/>
      <c r="AH32" s="1010"/>
      <c r="AI32" s="1010"/>
      <c r="AJ32" s="1011"/>
    </row>
    <row r="33" spans="2:36" ht="48" customHeight="1" thickBot="1" x14ac:dyDescent="0.3">
      <c r="B33" s="585"/>
      <c r="C33" s="586" t="s">
        <v>57</v>
      </c>
      <c r="D33" s="710" t="s">
        <v>145</v>
      </c>
      <c r="E33" s="626" t="s">
        <v>12</v>
      </c>
      <c r="F33" s="590" t="s">
        <v>59</v>
      </c>
      <c r="G33" s="589" t="s">
        <v>60</v>
      </c>
      <c r="H33" s="589" t="s">
        <v>61</v>
      </c>
      <c r="I33" s="589" t="s">
        <v>62</v>
      </c>
      <c r="J33" s="589" t="s">
        <v>63</v>
      </c>
      <c r="K33" s="589" t="s">
        <v>64</v>
      </c>
      <c r="L33" s="589" t="s">
        <v>41</v>
      </c>
      <c r="M33" s="589" t="s">
        <v>65</v>
      </c>
      <c r="N33" s="589" t="s">
        <v>66</v>
      </c>
      <c r="O33" s="589" t="s">
        <v>44</v>
      </c>
      <c r="P33" s="589" t="s">
        <v>67</v>
      </c>
      <c r="Q33" s="589" t="s">
        <v>68</v>
      </c>
      <c r="R33" s="589" t="s">
        <v>69</v>
      </c>
      <c r="S33" s="589" t="s">
        <v>70</v>
      </c>
      <c r="T33" s="589" t="s">
        <v>71</v>
      </c>
      <c r="U33" s="589" t="s">
        <v>131</v>
      </c>
      <c r="V33" s="589" t="s">
        <v>72</v>
      </c>
      <c r="W33" s="589" t="s">
        <v>73</v>
      </c>
      <c r="X33" s="589" t="s">
        <v>150</v>
      </c>
      <c r="Y33" s="589" t="s">
        <v>36</v>
      </c>
      <c r="Z33" s="590" t="s">
        <v>74</v>
      </c>
      <c r="AA33" s="591" t="s">
        <v>24</v>
      </c>
      <c r="AB33" s="592" t="s">
        <v>12</v>
      </c>
      <c r="AC33" s="593" t="s">
        <v>9</v>
      </c>
      <c r="AD33" s="594"/>
      <c r="AE33" s="595" t="s">
        <v>10</v>
      </c>
      <c r="AF33" s="591" t="s">
        <v>11</v>
      </c>
      <c r="AG33" s="596"/>
      <c r="AH33" s="586" t="s">
        <v>151</v>
      </c>
      <c r="AI33" s="597"/>
      <c r="AJ33" s="595" t="s">
        <v>12</v>
      </c>
    </row>
    <row r="34" spans="2:36" ht="17.100000000000001" customHeight="1" x14ac:dyDescent="0.25">
      <c r="B34" s="598" t="s">
        <v>133</v>
      </c>
      <c r="C34" s="599" t="s">
        <v>134</v>
      </c>
      <c r="D34" s="627">
        <v>566</v>
      </c>
      <c r="E34" s="628" t="s">
        <v>148</v>
      </c>
      <c r="F34" s="600"/>
      <c r="G34" s="601"/>
      <c r="H34" s="601"/>
      <c r="I34" s="601"/>
      <c r="J34" s="601"/>
      <c r="K34" s="601"/>
      <c r="L34" s="601">
        <v>17</v>
      </c>
      <c r="M34" s="601"/>
      <c r="N34" s="601">
        <v>9</v>
      </c>
      <c r="O34" s="601"/>
      <c r="P34" s="601"/>
      <c r="Q34" s="601"/>
      <c r="R34" s="601"/>
      <c r="S34" s="601"/>
      <c r="T34" s="601"/>
      <c r="U34" s="601"/>
      <c r="V34" s="601">
        <f>Y34/2</f>
        <v>33.5</v>
      </c>
      <c r="W34" s="601">
        <f>SQRT(V34^2-(V34-N34)^2)</f>
        <v>22.847319317591726</v>
      </c>
      <c r="X34" s="601">
        <f>SQRT(V34^2-(V34-N34-L34)^2)</f>
        <v>32.649655434629018</v>
      </c>
      <c r="Y34" s="601">
        <v>67</v>
      </c>
      <c r="Z34" s="600"/>
      <c r="AA34" s="602">
        <f>(((PI()*L34)/6)*(3*W34^2+3*X34^2+L34^2))*566*(0.45359237/0.3048^3)/0.45359237</f>
        <v>899017995.68399203</v>
      </c>
      <c r="AB34" s="603" t="s">
        <v>140</v>
      </c>
      <c r="AC34" s="600" t="s">
        <v>21</v>
      </c>
      <c r="AD34" s="601">
        <f t="shared" ref="AD34:AD38" si="6">IF(AC34="PLUS",1,IF(AC34="MINUS",-1,0))</f>
        <v>-1</v>
      </c>
      <c r="AE34" s="604">
        <v>4600</v>
      </c>
      <c r="AF34" s="605">
        <f>AA34*0.45359237/1000</f>
        <v>407787.70333495177</v>
      </c>
      <c r="AG34" s="606">
        <f t="shared" ref="AG34:AG38" si="7">AD34*AE34*AF34</f>
        <v>-1875823435.3407781</v>
      </c>
      <c r="AH34" s="599">
        <v>407788</v>
      </c>
      <c r="AI34" s="600">
        <f t="shared" ref="AI34:AI38" si="8">AD34*AE34*AH34</f>
        <v>-1875824800</v>
      </c>
      <c r="AJ34" s="604" t="s">
        <v>144</v>
      </c>
    </row>
    <row r="35" spans="2:36" ht="17.100000000000001" customHeight="1" x14ac:dyDescent="0.25">
      <c r="B35" s="443" t="s">
        <v>102</v>
      </c>
      <c r="C35" s="444" t="s">
        <v>135</v>
      </c>
      <c r="D35" s="629">
        <v>890</v>
      </c>
      <c r="E35" s="451" t="s">
        <v>147</v>
      </c>
      <c r="F35" s="445">
        <v>49</v>
      </c>
      <c r="G35" s="446">
        <v>90</v>
      </c>
      <c r="H35" s="446">
        <v>30</v>
      </c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5"/>
      <c r="AA35" s="447">
        <f>F35*G35*H35*D35*1000/31.1034768*1000</f>
        <v>3785653956216.2388</v>
      </c>
      <c r="AB35" s="448" t="s">
        <v>141</v>
      </c>
      <c r="AC35" s="445" t="s">
        <v>21</v>
      </c>
      <c r="AD35" s="446">
        <f t="shared" si="6"/>
        <v>-1</v>
      </c>
      <c r="AE35" s="449">
        <v>1391</v>
      </c>
      <c r="AF35" s="450">
        <f>AA35*31.1034768/1000/1000</f>
        <v>117747000</v>
      </c>
      <c r="AG35" s="451">
        <f t="shared" si="7"/>
        <v>-163786077000</v>
      </c>
      <c r="AH35" s="444">
        <v>117747000</v>
      </c>
      <c r="AI35" s="445">
        <f t="shared" si="8"/>
        <v>-163786077000</v>
      </c>
      <c r="AJ35" s="449" t="s">
        <v>144</v>
      </c>
    </row>
    <row r="36" spans="2:36" ht="17.100000000000001" customHeight="1" x14ac:dyDescent="0.25">
      <c r="B36" s="443" t="s">
        <v>94</v>
      </c>
      <c r="C36" s="444" t="s">
        <v>127</v>
      </c>
      <c r="D36" s="629">
        <v>450</v>
      </c>
      <c r="E36" s="451" t="s">
        <v>149</v>
      </c>
      <c r="F36" s="445">
        <v>340</v>
      </c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5"/>
      <c r="AA36" s="447">
        <f>(F36^3*D36)</f>
        <v>17686800000</v>
      </c>
      <c r="AB36" s="448" t="s">
        <v>144</v>
      </c>
      <c r="AC36" s="445" t="s">
        <v>80</v>
      </c>
      <c r="AD36" s="446">
        <f t="shared" si="6"/>
        <v>0</v>
      </c>
      <c r="AE36" s="449">
        <v>13</v>
      </c>
      <c r="AF36" s="450">
        <f>AA36</f>
        <v>17686800000</v>
      </c>
      <c r="AG36" s="451">
        <f t="shared" si="7"/>
        <v>0</v>
      </c>
      <c r="AH36" s="444">
        <v>17686800000</v>
      </c>
      <c r="AI36" s="445">
        <f t="shared" si="8"/>
        <v>0</v>
      </c>
      <c r="AJ36" s="449" t="s">
        <v>144</v>
      </c>
    </row>
    <row r="37" spans="2:36" ht="17.100000000000001" customHeight="1" x14ac:dyDescent="0.25">
      <c r="B37" s="443" t="s">
        <v>98</v>
      </c>
      <c r="C37" s="444" t="s">
        <v>100</v>
      </c>
      <c r="D37" s="629">
        <v>388</v>
      </c>
      <c r="E37" s="451" t="s">
        <v>149</v>
      </c>
      <c r="F37" s="445">
        <v>700</v>
      </c>
      <c r="G37" s="446"/>
      <c r="H37" s="446"/>
      <c r="I37" s="446"/>
      <c r="J37" s="446"/>
      <c r="K37" s="446"/>
      <c r="L37" s="446">
        <f>SQRT(F37^2-(W37-V37)^2)</f>
        <v>687.24886322204998</v>
      </c>
      <c r="M37" s="446"/>
      <c r="N37" s="446"/>
      <c r="O37" s="446"/>
      <c r="P37" s="446"/>
      <c r="Q37" s="446"/>
      <c r="R37" s="446">
        <v>56</v>
      </c>
      <c r="S37" s="446">
        <v>189</v>
      </c>
      <c r="T37" s="446"/>
      <c r="U37" s="446"/>
      <c r="V37" s="446">
        <v>56</v>
      </c>
      <c r="W37" s="446">
        <v>189</v>
      </c>
      <c r="X37" s="446"/>
      <c r="Y37" s="446"/>
      <c r="Z37" s="445"/>
      <c r="AA37" s="447">
        <f>((PI()*L37)/3)*(V37^2+V37*W37+W37^2)*D37*1000</f>
        <v>13805801346735.09</v>
      </c>
      <c r="AB37" s="448" t="s">
        <v>142</v>
      </c>
      <c r="AC37" s="445" t="s">
        <v>22</v>
      </c>
      <c r="AD37" s="446">
        <f t="shared" si="6"/>
        <v>1</v>
      </c>
      <c r="AE37" s="449">
        <v>12</v>
      </c>
      <c r="AF37" s="450">
        <f>AA37/1000</f>
        <v>13805801346.73509</v>
      </c>
      <c r="AG37" s="451">
        <f t="shared" si="7"/>
        <v>165669616160.82108</v>
      </c>
      <c r="AH37" s="444">
        <v>13805801347</v>
      </c>
      <c r="AI37" s="445">
        <f t="shared" si="8"/>
        <v>165669616164</v>
      </c>
      <c r="AJ37" s="449" t="s">
        <v>144</v>
      </c>
    </row>
    <row r="38" spans="2:36" ht="17.100000000000001" customHeight="1" thickBot="1" x14ac:dyDescent="0.3">
      <c r="B38" s="607" t="s">
        <v>129</v>
      </c>
      <c r="C38" s="608" t="s">
        <v>124</v>
      </c>
      <c r="D38" s="630">
        <v>560</v>
      </c>
      <c r="E38" s="615" t="s">
        <v>147</v>
      </c>
      <c r="F38" s="609"/>
      <c r="G38" s="610"/>
      <c r="H38" s="610"/>
      <c r="I38" s="610"/>
      <c r="J38" s="610"/>
      <c r="K38" s="610"/>
      <c r="L38" s="610">
        <v>76</v>
      </c>
      <c r="M38" s="610"/>
      <c r="N38" s="610"/>
      <c r="O38" s="610"/>
      <c r="P38" s="610"/>
      <c r="Q38" s="610"/>
      <c r="R38" s="610"/>
      <c r="S38" s="610"/>
      <c r="T38" s="610"/>
      <c r="U38" s="610"/>
      <c r="V38" s="610">
        <v>177</v>
      </c>
      <c r="W38" s="610">
        <f>SQRT(V38^2-(V38-L38)^2)</f>
        <v>145.35473848485299</v>
      </c>
      <c r="X38" s="610"/>
      <c r="Y38" s="610"/>
      <c r="Z38" s="609"/>
      <c r="AA38" s="611">
        <f>(((PI()*L38)/6)*(3*W38^2+L38^2))*D38*1000*1000</f>
        <v>1541186606595302.7</v>
      </c>
      <c r="AB38" s="612" t="s">
        <v>143</v>
      </c>
      <c r="AC38" s="609" t="s">
        <v>80</v>
      </c>
      <c r="AD38" s="610">
        <f t="shared" si="6"/>
        <v>0</v>
      </c>
      <c r="AE38" s="613">
        <v>90</v>
      </c>
      <c r="AF38" s="614">
        <f>AA38/1000/1000</f>
        <v>1541186606.5953028</v>
      </c>
      <c r="AG38" s="615">
        <f t="shared" si="7"/>
        <v>0</v>
      </c>
      <c r="AH38" s="608">
        <v>1541186607</v>
      </c>
      <c r="AI38" s="609">
        <f t="shared" si="8"/>
        <v>0</v>
      </c>
      <c r="AJ38" s="613" t="s">
        <v>144</v>
      </c>
    </row>
    <row r="39" spans="2:36" ht="15.75" thickBot="1" x14ac:dyDescent="0.3">
      <c r="B39" s="616"/>
      <c r="C39" s="617"/>
      <c r="D39" s="617"/>
      <c r="E39" s="617"/>
      <c r="F39" s="617"/>
      <c r="G39" s="617"/>
      <c r="H39" s="617"/>
      <c r="I39" s="617"/>
      <c r="J39" s="617"/>
      <c r="K39" s="617"/>
      <c r="L39" s="617"/>
      <c r="M39" s="617"/>
      <c r="N39" s="617"/>
      <c r="O39" s="617"/>
      <c r="P39" s="617"/>
      <c r="Q39" s="617"/>
      <c r="R39" s="617"/>
      <c r="S39" s="617"/>
      <c r="T39" s="617"/>
      <c r="U39" s="617"/>
      <c r="V39" s="617"/>
      <c r="W39" s="617"/>
      <c r="X39" s="617"/>
      <c r="Y39" s="617"/>
      <c r="Z39" s="618"/>
      <c r="AA39" s="617"/>
      <c r="AB39" s="617"/>
      <c r="AC39" s="617"/>
      <c r="AD39" s="617"/>
      <c r="AE39" s="617"/>
      <c r="AF39" s="617"/>
      <c r="AG39" s="617"/>
      <c r="AH39" s="617"/>
      <c r="AI39" s="617"/>
      <c r="AJ39" s="618"/>
    </row>
    <row r="40" spans="2:36" ht="16.5" thickTop="1" thickBot="1" x14ac:dyDescent="0.3">
      <c r="B40" s="616"/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  <c r="T40" s="617"/>
      <c r="U40" s="617"/>
      <c r="V40" s="617"/>
      <c r="W40" s="617"/>
      <c r="X40" s="617"/>
      <c r="Y40" s="617"/>
      <c r="Z40" s="618"/>
      <c r="AA40" s="1013" t="s">
        <v>15</v>
      </c>
      <c r="AB40" s="1014"/>
      <c r="AC40" s="1014"/>
      <c r="AD40" s="1014"/>
      <c r="AE40" s="1015"/>
      <c r="AF40" s="619">
        <f>SUM(AG34:AG38)</f>
        <v>7715725.4802856445</v>
      </c>
      <c r="AG40" s="620">
        <f>SUM(AG34:AG38)</f>
        <v>7715725.4802856445</v>
      </c>
      <c r="AH40" s="620">
        <f>SUM(AI34:AI38)</f>
        <v>7714364</v>
      </c>
      <c r="AI40" s="621">
        <f>SUM(AI34:AI39)</f>
        <v>7714364</v>
      </c>
      <c r="AJ40" s="620" t="s">
        <v>144</v>
      </c>
    </row>
    <row r="41" spans="2:36" ht="16.5" thickBot="1" x14ac:dyDescent="0.3">
      <c r="B41" s="622"/>
      <c r="C41" s="623"/>
      <c r="D41" s="623"/>
      <c r="E41" s="623"/>
      <c r="F41" s="623"/>
      <c r="G41" s="623"/>
      <c r="H41" s="623"/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4"/>
      <c r="AA41" s="1016" t="s">
        <v>26</v>
      </c>
      <c r="AB41" s="1017"/>
      <c r="AC41" s="1017"/>
      <c r="AD41" s="1017"/>
      <c r="AE41" s="1018"/>
      <c r="AF41" s="625">
        <f xml:space="preserve"> (AF40-AH40)/AF40</f>
        <v>1.7645525221487375E-4</v>
      </c>
      <c r="AG41" s="623"/>
      <c r="AH41" s="623"/>
      <c r="AI41" s="623"/>
      <c r="AJ41" s="624"/>
    </row>
    <row r="42" spans="2:36" ht="15.75" thickTop="1" x14ac:dyDescent="0.25"/>
    <row r="45" spans="2:36" ht="15.75" thickBot="1" x14ac:dyDescent="0.3"/>
    <row r="46" spans="2:36" ht="20.25" thickTop="1" thickBot="1" x14ac:dyDescent="0.3">
      <c r="B46" s="454" t="s">
        <v>121</v>
      </c>
      <c r="C46" s="455" t="s">
        <v>126</v>
      </c>
      <c r="D46" s="1106" t="s">
        <v>145</v>
      </c>
      <c r="E46" s="1107"/>
      <c r="F46" s="998" t="s">
        <v>28</v>
      </c>
      <c r="G46" s="998"/>
      <c r="H46" s="998"/>
      <c r="I46" s="998"/>
      <c r="J46" s="998"/>
      <c r="K46" s="998"/>
      <c r="L46" s="998"/>
      <c r="M46" s="998"/>
      <c r="N46" s="998"/>
      <c r="O46" s="998"/>
      <c r="P46" s="998"/>
      <c r="Q46" s="998"/>
      <c r="R46" s="998"/>
      <c r="S46" s="998"/>
      <c r="T46" s="998"/>
      <c r="U46" s="998"/>
      <c r="V46" s="998"/>
      <c r="W46" s="998"/>
      <c r="X46" s="998"/>
      <c r="Y46" s="998"/>
      <c r="Z46" s="999"/>
      <c r="AA46" s="1000" t="s">
        <v>13</v>
      </c>
      <c r="AB46" s="999"/>
      <c r="AC46" s="1007"/>
      <c r="AD46" s="1008"/>
      <c r="AE46" s="1009"/>
      <c r="AF46" s="1000" t="s">
        <v>14</v>
      </c>
      <c r="AG46" s="998"/>
      <c r="AH46" s="998"/>
      <c r="AI46" s="998"/>
      <c r="AJ46" s="999"/>
    </row>
    <row r="47" spans="2:36" ht="48" customHeight="1" thickBot="1" x14ac:dyDescent="0.3">
      <c r="B47" s="456"/>
      <c r="C47" s="457" t="s">
        <v>57</v>
      </c>
      <c r="D47" s="711" t="s">
        <v>145</v>
      </c>
      <c r="E47" s="631" t="s">
        <v>12</v>
      </c>
      <c r="F47" s="461" t="s">
        <v>59</v>
      </c>
      <c r="G47" s="460" t="s">
        <v>60</v>
      </c>
      <c r="H47" s="460" t="s">
        <v>61</v>
      </c>
      <c r="I47" s="460" t="s">
        <v>62</v>
      </c>
      <c r="J47" s="460" t="s">
        <v>63</v>
      </c>
      <c r="K47" s="460" t="s">
        <v>64</v>
      </c>
      <c r="L47" s="460" t="s">
        <v>41</v>
      </c>
      <c r="M47" s="460" t="s">
        <v>65</v>
      </c>
      <c r="N47" s="460" t="s">
        <v>66</v>
      </c>
      <c r="O47" s="460" t="s">
        <v>44</v>
      </c>
      <c r="P47" s="460" t="s">
        <v>67</v>
      </c>
      <c r="Q47" s="460" t="s">
        <v>68</v>
      </c>
      <c r="R47" s="460" t="s">
        <v>69</v>
      </c>
      <c r="S47" s="460" t="s">
        <v>70</v>
      </c>
      <c r="T47" s="460" t="s">
        <v>71</v>
      </c>
      <c r="U47" s="460" t="s">
        <v>131</v>
      </c>
      <c r="V47" s="460" t="s">
        <v>72</v>
      </c>
      <c r="W47" s="460" t="s">
        <v>73</v>
      </c>
      <c r="X47" s="460" t="s">
        <v>150</v>
      </c>
      <c r="Y47" s="460" t="s">
        <v>36</v>
      </c>
      <c r="Z47" s="461" t="s">
        <v>74</v>
      </c>
      <c r="AA47" s="462" t="s">
        <v>24</v>
      </c>
      <c r="AB47" s="463" t="s">
        <v>12</v>
      </c>
      <c r="AC47" s="464" t="s">
        <v>9</v>
      </c>
      <c r="AD47" s="465"/>
      <c r="AE47" s="466" t="s">
        <v>10</v>
      </c>
      <c r="AF47" s="462" t="s">
        <v>11</v>
      </c>
      <c r="AG47" s="467"/>
      <c r="AH47" s="457" t="s">
        <v>151</v>
      </c>
      <c r="AI47" s="468"/>
      <c r="AJ47" s="466" t="s">
        <v>12</v>
      </c>
    </row>
    <row r="48" spans="2:36" ht="17.100000000000001" customHeight="1" x14ac:dyDescent="0.25">
      <c r="B48" s="469" t="s">
        <v>102</v>
      </c>
      <c r="C48" s="470" t="s">
        <v>135</v>
      </c>
      <c r="D48" s="632">
        <v>560</v>
      </c>
      <c r="E48" s="633" t="s">
        <v>147</v>
      </c>
      <c r="F48" s="472">
        <v>78</v>
      </c>
      <c r="G48" s="471">
        <v>35</v>
      </c>
      <c r="H48" s="471">
        <v>15</v>
      </c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2"/>
      <c r="AA48" s="634">
        <f>F48*G48*H48*D48*1000/0.45359237</f>
        <v>50556405964.236122</v>
      </c>
      <c r="AB48" s="473" t="s">
        <v>140</v>
      </c>
      <c r="AC48" s="472" t="s">
        <v>21</v>
      </c>
      <c r="AD48" s="471">
        <f t="shared" ref="AD48:AD52" si="9">IF(AC48="PLUS",1,IF(AC48="MINUS",-1,0))</f>
        <v>-1</v>
      </c>
      <c r="AE48" s="474">
        <v>811</v>
      </c>
      <c r="AF48" s="635">
        <f>AA48*0.45359237</f>
        <v>22932000000</v>
      </c>
      <c r="AG48" s="475">
        <f t="shared" ref="AG48:AG52" si="10">AD48*AE48*AF48</f>
        <v>-18597852000000</v>
      </c>
      <c r="AH48" s="470">
        <v>22932000000</v>
      </c>
      <c r="AI48" s="472">
        <f t="shared" ref="AI48:AI52" si="11">AD48*AE48*AH48</f>
        <v>-18597852000000</v>
      </c>
      <c r="AJ48" s="474" t="s">
        <v>142</v>
      </c>
    </row>
    <row r="49" spans="2:36" ht="17.100000000000001" customHeight="1" x14ac:dyDescent="0.25">
      <c r="B49" s="476" t="s">
        <v>106</v>
      </c>
      <c r="C49" s="477" t="s">
        <v>107</v>
      </c>
      <c r="D49" s="636">
        <v>290</v>
      </c>
      <c r="E49" s="637" t="s">
        <v>146</v>
      </c>
      <c r="F49" s="478"/>
      <c r="G49" s="479"/>
      <c r="H49" s="479"/>
      <c r="I49" s="479"/>
      <c r="J49" s="479"/>
      <c r="K49" s="479"/>
      <c r="L49" s="479">
        <v>433</v>
      </c>
      <c r="M49" s="479"/>
      <c r="N49" s="479"/>
      <c r="O49" s="479"/>
      <c r="P49" s="479"/>
      <c r="Q49" s="479"/>
      <c r="R49" s="479"/>
      <c r="S49" s="479"/>
      <c r="T49" s="479"/>
      <c r="U49" s="479"/>
      <c r="V49" s="479">
        <f>Y49/2</f>
        <v>39</v>
      </c>
      <c r="W49" s="479"/>
      <c r="X49" s="479"/>
      <c r="Y49" s="479">
        <v>78</v>
      </c>
      <c r="Z49" s="478"/>
      <c r="AA49" s="480">
        <f>PI()*V49^2*L49*D49*1000/31.1034768</f>
        <v>19291057835.908623</v>
      </c>
      <c r="AB49" s="481" t="s">
        <v>141</v>
      </c>
      <c r="AC49" s="478" t="s">
        <v>22</v>
      </c>
      <c r="AD49" s="479">
        <f t="shared" si="9"/>
        <v>1</v>
      </c>
      <c r="AE49" s="482">
        <v>16</v>
      </c>
      <c r="AF49" s="483">
        <f>AA49*31.1034768/1000</f>
        <v>600018969.84664214</v>
      </c>
      <c r="AG49" s="484">
        <f t="shared" si="10"/>
        <v>9600303517.5462742</v>
      </c>
      <c r="AH49" s="477">
        <v>600018970</v>
      </c>
      <c r="AI49" s="478">
        <f t="shared" si="11"/>
        <v>9600303520</v>
      </c>
      <c r="AJ49" s="482" t="s">
        <v>142</v>
      </c>
    </row>
    <row r="50" spans="2:36" ht="17.100000000000001" customHeight="1" x14ac:dyDescent="0.25">
      <c r="B50" s="476" t="s">
        <v>119</v>
      </c>
      <c r="C50" s="477" t="s">
        <v>136</v>
      </c>
      <c r="D50" s="636">
        <v>655</v>
      </c>
      <c r="E50" s="484" t="s">
        <v>149</v>
      </c>
      <c r="F50" s="478"/>
      <c r="G50" s="479"/>
      <c r="H50" s="479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479"/>
      <c r="T50" s="479"/>
      <c r="U50" s="479"/>
      <c r="V50" s="479">
        <v>488</v>
      </c>
      <c r="W50" s="479"/>
      <c r="X50" s="479"/>
      <c r="Y50" s="479"/>
      <c r="Z50" s="478"/>
      <c r="AA50" s="480">
        <f>(4/3)*PI()*V50^3*D50*1000/1000</f>
        <v>318852168757.53772</v>
      </c>
      <c r="AB50" s="481" t="s">
        <v>144</v>
      </c>
      <c r="AC50" s="478" t="s">
        <v>22</v>
      </c>
      <c r="AD50" s="479">
        <f t="shared" si="9"/>
        <v>1</v>
      </c>
      <c r="AE50" s="482">
        <v>17</v>
      </c>
      <c r="AF50" s="483">
        <f>AA50*1000</f>
        <v>318852168757537.75</v>
      </c>
      <c r="AG50" s="484">
        <f t="shared" si="10"/>
        <v>5420486868878142</v>
      </c>
      <c r="AH50" s="477">
        <v>318852168757538</v>
      </c>
      <c r="AI50" s="478">
        <f t="shared" si="11"/>
        <v>5420486868878146</v>
      </c>
      <c r="AJ50" s="482" t="s">
        <v>142</v>
      </c>
    </row>
    <row r="51" spans="2:36" ht="17.100000000000001" customHeight="1" x14ac:dyDescent="0.25">
      <c r="B51" s="476" t="s">
        <v>94</v>
      </c>
      <c r="C51" s="477" t="s">
        <v>127</v>
      </c>
      <c r="D51" s="636">
        <v>480</v>
      </c>
      <c r="E51" s="484" t="s">
        <v>148</v>
      </c>
      <c r="F51" s="478">
        <v>895</v>
      </c>
      <c r="G51" s="479"/>
      <c r="H51" s="479"/>
      <c r="I51" s="479"/>
      <c r="J51" s="479"/>
      <c r="K51" s="479"/>
      <c r="L51" s="479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8"/>
      <c r="AA51" s="480">
        <f>F51^3*(D51*(0.45359237/0.3048^3))</f>
        <v>5512279062524.71</v>
      </c>
      <c r="AB51" s="481" t="s">
        <v>142</v>
      </c>
      <c r="AC51" s="478" t="s">
        <v>21</v>
      </c>
      <c r="AD51" s="479">
        <f t="shared" si="9"/>
        <v>-1</v>
      </c>
      <c r="AE51" s="482">
        <v>980</v>
      </c>
      <c r="AF51" s="483">
        <f>AA51</f>
        <v>5512279062524.71</v>
      </c>
      <c r="AG51" s="484">
        <f t="shared" si="10"/>
        <v>-5402033481274216</v>
      </c>
      <c r="AH51" s="477">
        <v>5512279062525</v>
      </c>
      <c r="AI51" s="478">
        <f t="shared" si="11"/>
        <v>-5402033481274500</v>
      </c>
      <c r="AJ51" s="482" t="s">
        <v>142</v>
      </c>
    </row>
    <row r="52" spans="2:36" ht="17.100000000000001" customHeight="1" thickBot="1" x14ac:dyDescent="0.3">
      <c r="B52" s="485" t="s">
        <v>83</v>
      </c>
      <c r="C52" s="486" t="s">
        <v>130</v>
      </c>
      <c r="D52" s="638">
        <v>1333</v>
      </c>
      <c r="E52" s="493" t="s">
        <v>149</v>
      </c>
      <c r="F52" s="487">
        <f>(2*SIN(((2*PI())/Z52)/2)*U52)</f>
        <v>3.8739727572170501</v>
      </c>
      <c r="G52" s="488"/>
      <c r="H52" s="488"/>
      <c r="I52" s="488"/>
      <c r="J52" s="488"/>
      <c r="K52" s="488"/>
      <c r="L52" s="488">
        <v>89</v>
      </c>
      <c r="M52" s="488"/>
      <c r="N52" s="488"/>
      <c r="O52" s="488"/>
      <c r="P52" s="488"/>
      <c r="Q52" s="488"/>
      <c r="R52" s="488"/>
      <c r="S52" s="488"/>
      <c r="T52" s="488">
        <f>COS(((2*PI())/Z52)/2)*U52</f>
        <v>28.935239480071441</v>
      </c>
      <c r="U52" s="488">
        <v>29</v>
      </c>
      <c r="V52" s="488"/>
      <c r="W52" s="488"/>
      <c r="X52" s="488"/>
      <c r="Y52" s="488"/>
      <c r="Z52" s="487">
        <v>47</v>
      </c>
      <c r="AA52" s="489">
        <f>((F52*Z52*L52*T52)/2)*D52*1000*1000</f>
        <v>312515571683493.44</v>
      </c>
      <c r="AB52" s="490" t="s">
        <v>143</v>
      </c>
      <c r="AC52" s="487" t="s">
        <v>80</v>
      </c>
      <c r="AD52" s="488">
        <f t="shared" si="9"/>
        <v>0</v>
      </c>
      <c r="AE52" s="491">
        <v>566</v>
      </c>
      <c r="AF52" s="492">
        <f>AA52/1000</f>
        <v>312515571683.49341</v>
      </c>
      <c r="AG52" s="493">
        <f t="shared" si="10"/>
        <v>0</v>
      </c>
      <c r="AH52" s="486">
        <v>312515571683</v>
      </c>
      <c r="AI52" s="487">
        <f t="shared" si="11"/>
        <v>0</v>
      </c>
      <c r="AJ52" s="491" t="s">
        <v>142</v>
      </c>
    </row>
    <row r="53" spans="2:36" ht="15.75" thickBot="1" x14ac:dyDescent="0.3">
      <c r="B53" s="494"/>
      <c r="C53" s="495"/>
      <c r="D53" s="495"/>
      <c r="E53" s="495"/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6"/>
      <c r="AA53" s="495"/>
      <c r="AB53" s="495"/>
      <c r="AC53" s="495"/>
      <c r="AD53" s="495"/>
      <c r="AE53" s="495"/>
      <c r="AF53" s="495"/>
      <c r="AG53" s="495"/>
      <c r="AH53" s="495"/>
      <c r="AI53" s="495"/>
      <c r="AJ53" s="496"/>
    </row>
    <row r="54" spans="2:36" ht="16.5" thickTop="1" thickBot="1" x14ac:dyDescent="0.3">
      <c r="B54" s="494"/>
      <c r="C54" s="495"/>
      <c r="D54" s="495"/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5"/>
      <c r="V54" s="495"/>
      <c r="W54" s="495"/>
      <c r="X54" s="495"/>
      <c r="Y54" s="495"/>
      <c r="Z54" s="496"/>
      <c r="AA54" s="1001" t="s">
        <v>15</v>
      </c>
      <c r="AB54" s="1002"/>
      <c r="AC54" s="1002"/>
      <c r="AD54" s="1002"/>
      <c r="AE54" s="1003"/>
      <c r="AF54" s="497">
        <f>SUM(AG48:AG52)</f>
        <v>-134864092556</v>
      </c>
      <c r="AG54" s="498">
        <f>SUM(AG48:AG52)</f>
        <v>-134864092556</v>
      </c>
      <c r="AH54" s="498">
        <f>SUM(AI48:AI52)</f>
        <v>-134864092834</v>
      </c>
      <c r="AI54" s="499">
        <f>SUM(AI48:AI53)</f>
        <v>-134864092834</v>
      </c>
      <c r="AJ54" s="498" t="s">
        <v>142</v>
      </c>
    </row>
    <row r="55" spans="2:36" ht="16.5" thickBot="1" x14ac:dyDescent="0.3">
      <c r="B55" s="500"/>
      <c r="C55" s="501"/>
      <c r="D55" s="501"/>
      <c r="E55" s="501"/>
      <c r="F55" s="501"/>
      <c r="G55" s="501"/>
      <c r="H55" s="501"/>
      <c r="I55" s="501"/>
      <c r="J55" s="501"/>
      <c r="K55" s="501"/>
      <c r="L55" s="501"/>
      <c r="M55" s="501"/>
      <c r="N55" s="501"/>
      <c r="O55" s="501"/>
      <c r="P55" s="501"/>
      <c r="Q55" s="501"/>
      <c r="R55" s="501"/>
      <c r="S55" s="501"/>
      <c r="T55" s="501"/>
      <c r="U55" s="501"/>
      <c r="V55" s="501"/>
      <c r="W55" s="501"/>
      <c r="X55" s="501"/>
      <c r="Y55" s="501"/>
      <c r="Z55" s="502"/>
      <c r="AA55" s="1004" t="s">
        <v>26</v>
      </c>
      <c r="AB55" s="1005"/>
      <c r="AC55" s="1005"/>
      <c r="AD55" s="1005"/>
      <c r="AE55" s="1006"/>
      <c r="AF55" s="503">
        <f xml:space="preserve"> (AF54-AH54)/AF54</f>
        <v>-2.0613344496020336E-9</v>
      </c>
      <c r="AG55" s="501"/>
      <c r="AH55" s="501"/>
      <c r="AI55" s="501"/>
      <c r="AJ55" s="502"/>
    </row>
    <row r="56" spans="2:36" ht="15.75" thickTop="1" x14ac:dyDescent="0.25"/>
    <row r="57" spans="2:36" ht="15.95" customHeight="1" x14ac:dyDescent="0.25"/>
    <row r="58" spans="2:36" ht="15.75" thickBot="1" x14ac:dyDescent="0.3"/>
    <row r="59" spans="2:36" ht="20.25" thickTop="1" thickBot="1" x14ac:dyDescent="0.3">
      <c r="B59" s="531" t="s">
        <v>121</v>
      </c>
      <c r="C59" s="532" t="s">
        <v>126</v>
      </c>
      <c r="D59" s="1098" t="s">
        <v>145</v>
      </c>
      <c r="E59" s="1099"/>
      <c r="F59" s="1061" t="s">
        <v>28</v>
      </c>
      <c r="G59" s="1061"/>
      <c r="H59" s="1061"/>
      <c r="I59" s="1061"/>
      <c r="J59" s="1061"/>
      <c r="K59" s="1061"/>
      <c r="L59" s="1061"/>
      <c r="M59" s="1061"/>
      <c r="N59" s="1061"/>
      <c r="O59" s="1061"/>
      <c r="P59" s="1061"/>
      <c r="Q59" s="1061"/>
      <c r="R59" s="1061"/>
      <c r="S59" s="1061"/>
      <c r="T59" s="1061"/>
      <c r="U59" s="1061"/>
      <c r="V59" s="1061"/>
      <c r="W59" s="1061"/>
      <c r="X59" s="1061"/>
      <c r="Y59" s="1061"/>
      <c r="Z59" s="1062"/>
      <c r="AA59" s="1063" t="s">
        <v>13</v>
      </c>
      <c r="AB59" s="1062"/>
      <c r="AC59" s="1070"/>
      <c r="AD59" s="1071"/>
      <c r="AE59" s="1072"/>
      <c r="AF59" s="1063" t="s">
        <v>14</v>
      </c>
      <c r="AG59" s="1061"/>
      <c r="AH59" s="1061"/>
      <c r="AI59" s="1061"/>
      <c r="AJ59" s="1062"/>
    </row>
    <row r="60" spans="2:36" ht="48" customHeight="1" thickBot="1" x14ac:dyDescent="0.3">
      <c r="B60" s="533"/>
      <c r="C60" s="534" t="s">
        <v>57</v>
      </c>
      <c r="D60" s="712" t="s">
        <v>145</v>
      </c>
      <c r="E60" s="645" t="s">
        <v>12</v>
      </c>
      <c r="F60" s="538" t="s">
        <v>59</v>
      </c>
      <c r="G60" s="537" t="s">
        <v>60</v>
      </c>
      <c r="H60" s="537" t="s">
        <v>61</v>
      </c>
      <c r="I60" s="537" t="s">
        <v>62</v>
      </c>
      <c r="J60" s="537" t="s">
        <v>63</v>
      </c>
      <c r="K60" s="537" t="s">
        <v>64</v>
      </c>
      <c r="L60" s="537" t="s">
        <v>41</v>
      </c>
      <c r="M60" s="537" t="s">
        <v>65</v>
      </c>
      <c r="N60" s="537" t="s">
        <v>66</v>
      </c>
      <c r="O60" s="537" t="s">
        <v>44</v>
      </c>
      <c r="P60" s="537" t="s">
        <v>67</v>
      </c>
      <c r="Q60" s="537" t="s">
        <v>68</v>
      </c>
      <c r="R60" s="537" t="s">
        <v>69</v>
      </c>
      <c r="S60" s="537" t="s">
        <v>70</v>
      </c>
      <c r="T60" s="537" t="s">
        <v>71</v>
      </c>
      <c r="U60" s="537" t="s">
        <v>131</v>
      </c>
      <c r="V60" s="537" t="s">
        <v>72</v>
      </c>
      <c r="W60" s="537" t="s">
        <v>73</v>
      </c>
      <c r="X60" s="537" t="s">
        <v>150</v>
      </c>
      <c r="Y60" s="537" t="s">
        <v>36</v>
      </c>
      <c r="Z60" s="538" t="s">
        <v>74</v>
      </c>
      <c r="AA60" s="539" t="s">
        <v>24</v>
      </c>
      <c r="AB60" s="540" t="s">
        <v>12</v>
      </c>
      <c r="AC60" s="541" t="s">
        <v>9</v>
      </c>
      <c r="AD60" s="542"/>
      <c r="AE60" s="543" t="s">
        <v>10</v>
      </c>
      <c r="AF60" s="539" t="s">
        <v>11</v>
      </c>
      <c r="AG60" s="544"/>
      <c r="AH60" s="534" t="s">
        <v>151</v>
      </c>
      <c r="AI60" s="545"/>
      <c r="AJ60" s="543" t="s">
        <v>12</v>
      </c>
    </row>
    <row r="61" spans="2:36" ht="17.100000000000001" customHeight="1" x14ac:dyDescent="0.25">
      <c r="B61" s="546" t="s">
        <v>120</v>
      </c>
      <c r="C61" s="547" t="s">
        <v>125</v>
      </c>
      <c r="D61" s="646">
        <v>1600</v>
      </c>
      <c r="E61" s="647" t="s">
        <v>147</v>
      </c>
      <c r="F61" s="548">
        <v>77</v>
      </c>
      <c r="G61" s="549"/>
      <c r="H61" s="549"/>
      <c r="I61" s="549"/>
      <c r="J61" s="549">
        <f>F61*(N61/(L61+N61))</f>
        <v>9.4660550458715598</v>
      </c>
      <c r="K61" s="549"/>
      <c r="L61" s="549">
        <v>478</v>
      </c>
      <c r="M61" s="549"/>
      <c r="N61" s="549">
        <v>67</v>
      </c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8">
        <v>90</v>
      </c>
      <c r="AA61" s="550">
        <f>((L61/3)*(((F61*Z61*(F61/(2*TAN(PI()/Z61))))/2)+SQRT(((F61*Z61*(F61/(2*TAN(PI()/Z61))))/2)*((J61/F61)^2*((F61*Z61*(F61/(2*TAN(PI()/Z61))))/2)))+((J61/F61)^2*((F61*Z61*(F61/(2*TAN(PI()/Z61))))/2))))*D61*1000/0.45359237</f>
        <v>2443441825092313.5</v>
      </c>
      <c r="AB61" s="551" t="s">
        <v>140</v>
      </c>
      <c r="AC61" s="548" t="s">
        <v>21</v>
      </c>
      <c r="AD61" s="549">
        <f t="shared" ref="AD61:AD65" si="12">IF(AC61="PLUS",1,IF(AC61="MINUS",-1,0))</f>
        <v>-1</v>
      </c>
      <c r="AE61" s="552">
        <v>32</v>
      </c>
      <c r="AF61" s="553">
        <f>AA61*0.45359237*1000</f>
        <v>1.108326568400748E+18</v>
      </c>
      <c r="AG61" s="554">
        <f t="shared" ref="AG61:AG65" si="13">AD61*AE61*AF61</f>
        <v>-3.5466450188823937E+19</v>
      </c>
      <c r="AH61" s="648">
        <v>1.10832656840075E+18</v>
      </c>
      <c r="AI61" s="548">
        <f t="shared" ref="AI61:AI65" si="14">AD61*AE61*AH61</f>
        <v>-3.5466450188823998E+19</v>
      </c>
      <c r="AJ61" s="644" t="s">
        <v>143</v>
      </c>
    </row>
    <row r="62" spans="2:36" ht="17.100000000000001" customHeight="1" x14ac:dyDescent="0.25">
      <c r="B62" s="555" t="s">
        <v>128</v>
      </c>
      <c r="C62" s="556" t="s">
        <v>124</v>
      </c>
      <c r="D62" s="649">
        <v>844</v>
      </c>
      <c r="E62" s="563" t="s">
        <v>147</v>
      </c>
      <c r="F62" s="557"/>
      <c r="G62" s="558"/>
      <c r="H62" s="558"/>
      <c r="I62" s="558"/>
      <c r="J62" s="558"/>
      <c r="K62" s="558"/>
      <c r="L62" s="558"/>
      <c r="M62" s="558">
        <v>80</v>
      </c>
      <c r="N62" s="558"/>
      <c r="O62" s="558"/>
      <c r="P62" s="558"/>
      <c r="Q62" s="558"/>
      <c r="R62" s="558"/>
      <c r="S62" s="558"/>
      <c r="T62" s="558"/>
      <c r="U62" s="558"/>
      <c r="V62" s="558">
        <v>170</v>
      </c>
      <c r="W62" s="558">
        <f>SQRT(V62^2-(V62-M62)^2)</f>
        <v>144.22205101855957</v>
      </c>
      <c r="X62" s="558"/>
      <c r="Y62" s="558"/>
      <c r="Z62" s="557"/>
      <c r="AA62" s="559">
        <f>((((PI()*M62)/6)*(3*W62^2+M62^2))+((PI()*(V62-M62)*W62^2)/3))*D62*1000* 1000/31.1034768</f>
        <v>131395336689906.95</v>
      </c>
      <c r="AB62" s="560" t="s">
        <v>141</v>
      </c>
      <c r="AC62" s="557" t="s">
        <v>80</v>
      </c>
      <c r="AD62" s="558">
        <f t="shared" si="12"/>
        <v>0</v>
      </c>
      <c r="AE62" s="561">
        <v>655</v>
      </c>
      <c r="AF62" s="562">
        <f>AA62*31.1034768/1000*1000</f>
        <v>4086851806362709.5</v>
      </c>
      <c r="AG62" s="563">
        <f t="shared" si="13"/>
        <v>0</v>
      </c>
      <c r="AH62" s="650">
        <v>4086851806362710</v>
      </c>
      <c r="AI62" s="557">
        <f t="shared" si="14"/>
        <v>0</v>
      </c>
      <c r="AJ62" s="561" t="s">
        <v>143</v>
      </c>
    </row>
    <row r="63" spans="2:36" ht="17.100000000000001" customHeight="1" x14ac:dyDescent="0.25">
      <c r="B63" s="555" t="s">
        <v>94</v>
      </c>
      <c r="C63" s="556" t="s">
        <v>95</v>
      </c>
      <c r="D63" s="649">
        <v>900</v>
      </c>
      <c r="E63" s="563" t="s">
        <v>148</v>
      </c>
      <c r="F63" s="557">
        <f>Q63*SQRT(1/2)</f>
        <v>55.861435713737258</v>
      </c>
      <c r="G63" s="558"/>
      <c r="H63" s="558"/>
      <c r="I63" s="558"/>
      <c r="J63" s="558"/>
      <c r="K63" s="558"/>
      <c r="L63" s="558"/>
      <c r="M63" s="558"/>
      <c r="N63" s="558"/>
      <c r="O63" s="558"/>
      <c r="P63" s="558"/>
      <c r="Q63" s="558">
        <v>79</v>
      </c>
      <c r="R63" s="558"/>
      <c r="S63" s="558"/>
      <c r="T63" s="558"/>
      <c r="U63" s="558"/>
      <c r="V63" s="558"/>
      <c r="W63" s="558"/>
      <c r="X63" s="558"/>
      <c r="Y63" s="558"/>
      <c r="Z63" s="557"/>
      <c r="AA63" s="559">
        <f>(F63^3*D63*(0.45359237/0.3048^3))/1000</f>
        <v>2513041.3949513994</v>
      </c>
      <c r="AB63" s="560" t="s">
        <v>144</v>
      </c>
      <c r="AC63" s="557" t="s">
        <v>22</v>
      </c>
      <c r="AD63" s="558">
        <f t="shared" si="12"/>
        <v>1</v>
      </c>
      <c r="AE63" s="561">
        <v>7</v>
      </c>
      <c r="AF63" s="562">
        <f>AA63*1000*1000</f>
        <v>2513041394951.3994</v>
      </c>
      <c r="AG63" s="563">
        <f t="shared" si="13"/>
        <v>17591289764659.797</v>
      </c>
      <c r="AH63" s="556">
        <v>2513041394951</v>
      </c>
      <c r="AI63" s="557">
        <f t="shared" si="14"/>
        <v>17591289764657</v>
      </c>
      <c r="AJ63" s="561" t="s">
        <v>143</v>
      </c>
    </row>
    <row r="64" spans="2:36" ht="17.100000000000001" customHeight="1" x14ac:dyDescent="0.25">
      <c r="B64" s="555" t="s">
        <v>106</v>
      </c>
      <c r="C64" s="556" t="s">
        <v>124</v>
      </c>
      <c r="D64" s="649">
        <v>900</v>
      </c>
      <c r="E64" s="563" t="s">
        <v>148</v>
      </c>
      <c r="F64" s="557"/>
      <c r="G64" s="558"/>
      <c r="H64" s="558"/>
      <c r="I64" s="558"/>
      <c r="J64" s="558"/>
      <c r="K64" s="558"/>
      <c r="L64" s="558">
        <v>56</v>
      </c>
      <c r="M64" s="558"/>
      <c r="N64" s="558"/>
      <c r="O64" s="558"/>
      <c r="P64" s="558"/>
      <c r="Q64" s="558"/>
      <c r="R64" s="558"/>
      <c r="S64" s="558"/>
      <c r="T64" s="558"/>
      <c r="U64" s="558"/>
      <c r="V64" s="558">
        <v>66</v>
      </c>
      <c r="W64" s="558"/>
      <c r="X64" s="558"/>
      <c r="Y64" s="558"/>
      <c r="Z64" s="557"/>
      <c r="AA64" s="559">
        <f>PI()*V64^2*L64*D64*(0.45359237/0.3048^3)</f>
        <v>11048139081.048714</v>
      </c>
      <c r="AB64" s="560" t="s">
        <v>142</v>
      </c>
      <c r="AC64" s="557" t="s">
        <v>21</v>
      </c>
      <c r="AD64" s="558">
        <f t="shared" si="12"/>
        <v>-1</v>
      </c>
      <c r="AE64" s="561">
        <v>1666</v>
      </c>
      <c r="AF64" s="562">
        <f>AA64*1000</f>
        <v>11048139081048.713</v>
      </c>
      <c r="AG64" s="563">
        <f t="shared" si="13"/>
        <v>-1.8406199709027156E+16</v>
      </c>
      <c r="AH64" s="556">
        <v>11048139081049</v>
      </c>
      <c r="AI64" s="557">
        <f t="shared" si="14"/>
        <v>-1.8406199709027632E+16</v>
      </c>
      <c r="AJ64" s="561" t="s">
        <v>143</v>
      </c>
    </row>
    <row r="65" spans="2:36" ht="17.100000000000001" customHeight="1" thickBot="1" x14ac:dyDescent="0.3">
      <c r="B65" s="564" t="s">
        <v>75</v>
      </c>
      <c r="C65" s="565" t="s">
        <v>77</v>
      </c>
      <c r="D65" s="651">
        <v>660</v>
      </c>
      <c r="E65" s="572" t="s">
        <v>149</v>
      </c>
      <c r="F65" s="566">
        <v>320</v>
      </c>
      <c r="G65" s="567">
        <v>333</v>
      </c>
      <c r="H65" s="567">
        <v>290</v>
      </c>
      <c r="I65" s="567"/>
      <c r="J65" s="567"/>
      <c r="K65" s="567"/>
      <c r="L65" s="567">
        <v>677</v>
      </c>
      <c r="M65" s="567"/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Y65" s="567"/>
      <c r="Z65" s="566"/>
      <c r="AA65" s="568">
        <f>L65*SQRT(((F65+G65+H65)/2)*(((F65+G65+H65)/2)-F65)*(((F65+G65+H65)/2)-G65)*(((F65+G65+H65)/2)-H65))*D65*1000*1000</f>
        <v>1.8934026061859564E+16</v>
      </c>
      <c r="AB65" s="569" t="s">
        <v>143</v>
      </c>
      <c r="AC65" s="566" t="s">
        <v>22</v>
      </c>
      <c r="AD65" s="567">
        <f t="shared" si="12"/>
        <v>1</v>
      </c>
      <c r="AE65" s="570">
        <v>1875</v>
      </c>
      <c r="AF65" s="571">
        <f>AA65</f>
        <v>1.8934026061859564E+16</v>
      </c>
      <c r="AG65" s="572">
        <f t="shared" si="13"/>
        <v>3.5501298865986683E+19</v>
      </c>
      <c r="AH65" s="652">
        <v>1.89340260618596E+16</v>
      </c>
      <c r="AI65" s="566">
        <f t="shared" si="14"/>
        <v>3.5501298865986748E+19</v>
      </c>
      <c r="AJ65" s="570" t="s">
        <v>143</v>
      </c>
    </row>
    <row r="66" spans="2:36" ht="15.75" thickBot="1" x14ac:dyDescent="0.3">
      <c r="B66" s="573"/>
      <c r="C66" s="574"/>
      <c r="D66" s="574"/>
      <c r="E66" s="574"/>
      <c r="F66" s="574"/>
      <c r="G66" s="574"/>
      <c r="H66" s="574"/>
      <c r="I66" s="574"/>
      <c r="J66" s="57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5"/>
      <c r="AA66" s="574"/>
      <c r="AB66" s="574"/>
      <c r="AC66" s="574"/>
      <c r="AD66" s="574"/>
      <c r="AE66" s="574"/>
      <c r="AF66" s="574"/>
      <c r="AG66" s="574"/>
      <c r="AH66" s="574"/>
      <c r="AI66" s="574"/>
      <c r="AJ66" s="575"/>
    </row>
    <row r="67" spans="2:36" ht="16.5" thickTop="1" thickBot="1" x14ac:dyDescent="0.3">
      <c r="B67" s="573"/>
      <c r="C67" s="574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5"/>
      <c r="AA67" s="1064" t="s">
        <v>15</v>
      </c>
      <c r="AB67" s="1065"/>
      <c r="AC67" s="1065"/>
      <c r="AD67" s="1065"/>
      <c r="AE67" s="1066"/>
      <c r="AF67" s="576">
        <f>SUM(AG61:AG65)</f>
        <v>1.6460068743483392E+16</v>
      </c>
      <c r="AG67" s="577">
        <f>SUM(AG61:AG65)</f>
        <v>1.6460068743483392E+16</v>
      </c>
      <c r="AH67" s="577">
        <f>SUM(AI61:AI65)</f>
        <v>1.6460068743487488E+16</v>
      </c>
      <c r="AI67" s="578">
        <f>SUM(AI61:AI66)</f>
        <v>1.6460068743487488E+16</v>
      </c>
      <c r="AJ67" s="577" t="s">
        <v>143</v>
      </c>
    </row>
    <row r="68" spans="2:36" ht="16.5" thickBot="1" x14ac:dyDescent="0.3">
      <c r="B68" s="579"/>
      <c r="C68" s="580"/>
      <c r="D68" s="580"/>
      <c r="E68" s="580"/>
      <c r="F68" s="580"/>
      <c r="G68" s="580"/>
      <c r="H68" s="580"/>
      <c r="I68" s="580"/>
      <c r="J68" s="580"/>
      <c r="K68" s="580"/>
      <c r="L68" s="580"/>
      <c r="M68" s="580"/>
      <c r="N68" s="580"/>
      <c r="O68" s="580"/>
      <c r="P68" s="580"/>
      <c r="Q68" s="580"/>
      <c r="R68" s="580"/>
      <c r="S68" s="580"/>
      <c r="T68" s="580"/>
      <c r="U68" s="580"/>
      <c r="V68" s="580"/>
      <c r="W68" s="580"/>
      <c r="X68" s="580"/>
      <c r="Y68" s="580"/>
      <c r="Z68" s="581"/>
      <c r="AA68" s="1067" t="s">
        <v>26</v>
      </c>
      <c r="AB68" s="1068"/>
      <c r="AC68" s="1068"/>
      <c r="AD68" s="1068"/>
      <c r="AE68" s="1069"/>
      <c r="AF68" s="582">
        <f xml:space="preserve"> (AF67-AH67)/AF67</f>
        <v>-2.4884464723888973E-13</v>
      </c>
      <c r="AG68" s="580"/>
      <c r="AH68" s="580"/>
      <c r="AI68" s="580"/>
      <c r="AJ68" s="581"/>
    </row>
    <row r="69" spans="2:36" ht="15.75" thickTop="1" x14ac:dyDescent="0.25"/>
    <row r="72" spans="2:36" ht="15.75" thickBot="1" x14ac:dyDescent="0.3"/>
    <row r="73" spans="2:36" ht="17.25" thickTop="1" thickBot="1" x14ac:dyDescent="0.3">
      <c r="B73" s="1110" t="s">
        <v>108</v>
      </c>
      <c r="C73" s="1111"/>
      <c r="D73" s="1111"/>
      <c r="E73" s="1111"/>
      <c r="F73" s="1111"/>
      <c r="G73" s="1111"/>
      <c r="H73" s="1111"/>
      <c r="I73" s="1111"/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  <c r="T73" s="1111"/>
      <c r="U73" s="1111"/>
      <c r="V73" s="1111"/>
      <c r="W73" s="1111"/>
      <c r="X73" s="1111"/>
      <c r="Y73" s="1111"/>
      <c r="Z73" s="1111"/>
      <c r="AA73" s="1111"/>
      <c r="AB73" s="1111"/>
      <c r="AC73" s="1111"/>
      <c r="AD73" s="1111"/>
      <c r="AE73" s="1111"/>
      <c r="AF73" s="1111"/>
      <c r="AG73" s="1112"/>
    </row>
    <row r="74" spans="2:36" ht="15.75" thickBot="1" x14ac:dyDescent="0.3">
      <c r="B74" s="1046" t="s">
        <v>50</v>
      </c>
      <c r="C74" s="1041"/>
      <c r="D74" s="1041"/>
      <c r="E74" s="1041"/>
      <c r="F74" s="1041"/>
      <c r="G74" s="1041"/>
      <c r="H74" s="1041"/>
      <c r="I74" s="1041"/>
      <c r="J74" s="1041"/>
      <c r="K74" s="1041"/>
      <c r="L74" s="1041"/>
      <c r="M74" s="1041"/>
      <c r="N74" s="1041"/>
      <c r="O74" s="1041"/>
      <c r="P74" s="1041"/>
      <c r="Q74" s="1041"/>
      <c r="R74" s="1041"/>
      <c r="S74" s="1041"/>
      <c r="T74" s="1041"/>
      <c r="U74" s="1041"/>
      <c r="V74" s="1041"/>
      <c r="W74" s="1041"/>
      <c r="X74" s="1041"/>
      <c r="Y74" s="1041"/>
      <c r="Z74" s="1041"/>
      <c r="AA74" s="1041"/>
      <c r="AB74" s="1041"/>
      <c r="AC74" s="1041"/>
      <c r="AD74" s="1041"/>
      <c r="AE74" s="1041"/>
      <c r="AF74" s="1041"/>
      <c r="AG74" s="1113"/>
    </row>
    <row r="75" spans="2:36" x14ac:dyDescent="0.25">
      <c r="B75" s="431"/>
      <c r="C75" s="881"/>
      <c r="D75" s="881"/>
      <c r="E75" s="881"/>
      <c r="F75" s="881"/>
      <c r="G75" s="881"/>
      <c r="H75" s="881"/>
      <c r="I75" s="881"/>
      <c r="J75" s="881"/>
      <c r="K75" s="881"/>
      <c r="L75" s="881"/>
      <c r="M75" s="881"/>
      <c r="N75" s="881"/>
      <c r="O75" s="881"/>
      <c r="P75" s="881"/>
      <c r="Q75" s="881"/>
      <c r="R75" s="881"/>
      <c r="S75" s="881"/>
      <c r="T75" s="881"/>
      <c r="U75" s="881"/>
      <c r="V75" s="881"/>
      <c r="W75" s="881"/>
      <c r="X75" s="881"/>
      <c r="Y75" s="881"/>
      <c r="Z75" s="881"/>
      <c r="AA75" s="1116" t="s">
        <v>52</v>
      </c>
      <c r="AB75" s="1117"/>
      <c r="AC75" s="1117"/>
      <c r="AD75" s="1117"/>
      <c r="AE75" s="1117"/>
      <c r="AF75" s="1117"/>
      <c r="AG75" s="1118"/>
    </row>
    <row r="76" spans="2:36" x14ac:dyDescent="0.25">
      <c r="B76" s="431"/>
      <c r="C76" s="881"/>
      <c r="D76" s="881"/>
      <c r="E76" s="881"/>
      <c r="F76" s="881"/>
      <c r="G76" s="881"/>
      <c r="H76" s="881"/>
      <c r="I76" s="881"/>
      <c r="J76" s="881"/>
      <c r="K76" s="881"/>
      <c r="L76" s="881"/>
      <c r="M76" s="881"/>
      <c r="N76" s="881"/>
      <c r="O76" s="881"/>
      <c r="P76" s="881"/>
      <c r="Q76" s="881"/>
      <c r="R76" s="881"/>
      <c r="S76" s="881"/>
      <c r="T76" s="881"/>
      <c r="U76" s="881"/>
      <c r="V76" s="881"/>
      <c r="W76" s="881"/>
      <c r="X76" s="881"/>
      <c r="Y76" s="881"/>
      <c r="Z76" s="881"/>
      <c r="AA76" s="1089" t="s">
        <v>53</v>
      </c>
      <c r="AB76" s="1119"/>
      <c r="AC76" s="1119"/>
      <c r="AD76" s="1119"/>
      <c r="AE76" s="1119"/>
      <c r="AF76" s="1119"/>
      <c r="AG76" s="1120"/>
    </row>
    <row r="77" spans="2:36" x14ac:dyDescent="0.25">
      <c r="B77" s="431"/>
      <c r="C77" s="881"/>
      <c r="D77" s="881"/>
      <c r="E77" s="881"/>
      <c r="F77" s="881"/>
      <c r="G77" s="881"/>
      <c r="H77" s="881"/>
      <c r="I77" s="881"/>
      <c r="J77" s="881"/>
      <c r="K77" s="881"/>
      <c r="L77" s="881"/>
      <c r="M77" s="881"/>
      <c r="N77" s="881"/>
      <c r="O77" s="881"/>
      <c r="P77" s="881"/>
      <c r="Q77" s="881"/>
      <c r="R77" s="881"/>
      <c r="S77" s="881"/>
      <c r="T77" s="881"/>
      <c r="U77" s="881"/>
      <c r="V77" s="881"/>
      <c r="W77" s="881"/>
      <c r="X77" s="881"/>
      <c r="Y77" s="881"/>
      <c r="Z77" s="881"/>
      <c r="AA77" s="1089" t="s">
        <v>55</v>
      </c>
      <c r="AB77" s="1119"/>
      <c r="AC77" s="1119"/>
      <c r="AD77" s="1119"/>
      <c r="AE77" s="1119"/>
      <c r="AF77" s="1119"/>
      <c r="AG77" s="1120"/>
    </row>
    <row r="78" spans="2:36" ht="15.75" thickBot="1" x14ac:dyDescent="0.3">
      <c r="B78" s="431"/>
      <c r="C78" s="881"/>
      <c r="D78" s="881"/>
      <c r="E78" s="881"/>
      <c r="F78" s="881"/>
      <c r="G78" s="881"/>
      <c r="H78" s="881"/>
      <c r="I78" s="881"/>
      <c r="J78" s="881"/>
      <c r="K78" s="881"/>
      <c r="L78" s="881"/>
      <c r="M78" s="881"/>
      <c r="N78" s="881"/>
      <c r="O78" s="881"/>
      <c r="P78" s="881"/>
      <c r="Q78" s="881"/>
      <c r="R78" s="881"/>
      <c r="S78" s="881"/>
      <c r="T78" s="881"/>
      <c r="U78" s="881"/>
      <c r="V78" s="881"/>
      <c r="W78" s="881"/>
      <c r="X78" s="881"/>
      <c r="Y78" s="881"/>
      <c r="Z78" s="881"/>
      <c r="AA78" s="1121" t="s">
        <v>56</v>
      </c>
      <c r="AB78" s="1122"/>
      <c r="AC78" s="1122"/>
      <c r="AD78" s="1122"/>
      <c r="AE78" s="1122"/>
      <c r="AF78" s="1122"/>
      <c r="AG78" s="1123"/>
    </row>
    <row r="79" spans="2:36" ht="15.75" thickBot="1" x14ac:dyDescent="0.3">
      <c r="B79" s="1095" t="s">
        <v>155</v>
      </c>
      <c r="C79" s="1114"/>
      <c r="D79" s="1114"/>
      <c r="E79" s="1114"/>
      <c r="F79" s="1114"/>
      <c r="G79" s="1114"/>
      <c r="H79" s="1114"/>
      <c r="I79" s="1114"/>
      <c r="J79" s="1114"/>
      <c r="K79" s="1114"/>
      <c r="L79" s="1114"/>
      <c r="M79" s="1114"/>
      <c r="N79" s="1114"/>
      <c r="O79" s="1114"/>
      <c r="P79" s="1114"/>
      <c r="Q79" s="1114"/>
      <c r="R79" s="1114"/>
      <c r="S79" s="1114"/>
      <c r="T79" s="1114"/>
      <c r="U79" s="1114"/>
      <c r="V79" s="1114"/>
      <c r="W79" s="1114"/>
      <c r="X79" s="1114"/>
      <c r="Y79" s="1114"/>
      <c r="Z79" s="1114"/>
      <c r="AA79" s="1114"/>
      <c r="AB79" s="1114"/>
      <c r="AC79" s="1114"/>
      <c r="AD79" s="1114"/>
      <c r="AE79" s="1114"/>
      <c r="AF79" s="1114"/>
      <c r="AG79" s="1115"/>
    </row>
    <row r="80" spans="2:36" ht="15.75" thickTop="1" x14ac:dyDescent="0.25"/>
    <row r="81" spans="2:4" x14ac:dyDescent="0.25">
      <c r="B81" s="305" t="s">
        <v>110</v>
      </c>
      <c r="C81" s="1073" t="s">
        <v>112</v>
      </c>
      <c r="D81" s="1108"/>
    </row>
    <row r="82" spans="2:4" x14ac:dyDescent="0.25">
      <c r="B82" s="306" t="s">
        <v>111</v>
      </c>
      <c r="C82" s="1076">
        <v>41031</v>
      </c>
      <c r="D82" s="1109"/>
    </row>
  </sheetData>
  <mergeCells count="45">
    <mergeCell ref="C81:D81"/>
    <mergeCell ref="C82:D82"/>
    <mergeCell ref="B73:AG73"/>
    <mergeCell ref="B74:AG74"/>
    <mergeCell ref="B79:AG79"/>
    <mergeCell ref="AA75:AG75"/>
    <mergeCell ref="AA77:AG77"/>
    <mergeCell ref="AA78:AG78"/>
    <mergeCell ref="AA76:AG76"/>
    <mergeCell ref="B1:AJ1"/>
    <mergeCell ref="D4:E4"/>
    <mergeCell ref="D18:E18"/>
    <mergeCell ref="D32:E32"/>
    <mergeCell ref="D46:E46"/>
    <mergeCell ref="AA27:AE27"/>
    <mergeCell ref="F4:Z4"/>
    <mergeCell ref="AA4:AB4"/>
    <mergeCell ref="AC4:AE4"/>
    <mergeCell ref="AF4:AJ4"/>
    <mergeCell ref="AA12:AE12"/>
    <mergeCell ref="AA13:AE13"/>
    <mergeCell ref="F18:Z18"/>
    <mergeCell ref="AA18:AB18"/>
    <mergeCell ref="AC18:AE18"/>
    <mergeCell ref="AF18:AJ18"/>
    <mergeCell ref="D59:E59"/>
    <mergeCell ref="AA68:AE68"/>
    <mergeCell ref="AC32:AE32"/>
    <mergeCell ref="AC46:AE46"/>
    <mergeCell ref="AC59:AE59"/>
    <mergeCell ref="AA54:AE54"/>
    <mergeCell ref="AA55:AE55"/>
    <mergeCell ref="F59:Z59"/>
    <mergeCell ref="AA59:AB59"/>
    <mergeCell ref="AA26:AE26"/>
    <mergeCell ref="AF59:AJ59"/>
    <mergeCell ref="AA67:AE67"/>
    <mergeCell ref="F32:Z32"/>
    <mergeCell ref="AA32:AB32"/>
    <mergeCell ref="AF32:AJ32"/>
    <mergeCell ref="AA40:AE40"/>
    <mergeCell ref="AA41:AE41"/>
    <mergeCell ref="F46:Z46"/>
    <mergeCell ref="AA46:AB46"/>
    <mergeCell ref="AF46:AJ46"/>
  </mergeCells>
  <conditionalFormatting sqref="AF55 AF41 AF27 AF13 AF68">
    <cfRule type="cellIs" dxfId="3" priority="7" operator="greaterThan">
      <formula>"0.000001%"</formula>
    </cfRule>
  </conditionalFormatting>
  <conditionalFormatting sqref="AF13 AF27 AF41 AF55 AF68">
    <cfRule type="cellIs" dxfId="2" priority="1" operator="notBetween">
      <formula>0.001</formula>
      <formula>-0.001</formula>
    </cfRule>
    <cfRule type="cellIs" dxfId="1" priority="2" operator="notBetween">
      <formula>-0.001</formula>
      <formula>0.001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H48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3.7109375" customWidth="1"/>
    <col min="2" max="2" width="15.28515625" customWidth="1"/>
    <col min="3" max="3" width="8.85546875" customWidth="1"/>
    <col min="4" max="5" width="10.7109375" customWidth="1"/>
    <col min="6" max="13" width="8.140625" hidden="1" customWidth="1"/>
    <col min="14" max="14" width="11.28515625" hidden="1" customWidth="1"/>
    <col min="15" max="15" width="8.140625" hidden="1" customWidth="1"/>
    <col min="16" max="20" width="11.28515625" hidden="1" customWidth="1"/>
    <col min="21" max="23" width="9.7109375" hidden="1" customWidth="1"/>
    <col min="24" max="24" width="6.7109375" hidden="1" customWidth="1"/>
    <col min="25" max="25" width="15.42578125" customWidth="1"/>
    <col min="26" max="26" width="10" bestFit="1" customWidth="1"/>
    <col min="27" max="27" width="13.7109375" bestFit="1" customWidth="1"/>
    <col min="28" max="28" width="3" hidden="1" customWidth="1"/>
    <col min="29" max="29" width="6.7109375" bestFit="1" customWidth="1"/>
    <col min="30" max="30" width="18.5703125" customWidth="1"/>
    <col min="31" max="31" width="18.5703125" hidden="1" customWidth="1"/>
    <col min="32" max="32" width="18.5703125" customWidth="1"/>
    <col min="33" max="33" width="14.7109375" hidden="1" customWidth="1"/>
    <col min="34" max="34" width="10" bestFit="1" customWidth="1"/>
  </cols>
  <sheetData>
    <row r="1" spans="2:34" ht="19.5" thickBot="1" x14ac:dyDescent="0.3">
      <c r="B1" s="1040" t="s">
        <v>154</v>
      </c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1041"/>
      <c r="Z1" s="1041"/>
      <c r="AA1" s="1041"/>
      <c r="AB1" s="1041"/>
      <c r="AC1" s="1041"/>
      <c r="AD1" s="1041"/>
      <c r="AE1" s="1041"/>
      <c r="AF1" s="1041"/>
      <c r="AG1" s="1041"/>
      <c r="AH1" s="1042"/>
    </row>
    <row r="2" spans="2:34" ht="15.75" thickBot="1" x14ac:dyDescent="0.3"/>
    <row r="3" spans="2:34" ht="48.75" thickTop="1" thickBot="1" x14ac:dyDescent="0.3">
      <c r="B3" s="290"/>
      <c r="C3" s="291" t="s">
        <v>57</v>
      </c>
      <c r="D3" s="1126" t="s">
        <v>58</v>
      </c>
      <c r="E3" s="1127"/>
      <c r="F3" s="292" t="s">
        <v>59</v>
      </c>
      <c r="G3" s="293" t="s">
        <v>60</v>
      </c>
      <c r="H3" s="293" t="s">
        <v>61</v>
      </c>
      <c r="I3" s="293" t="s">
        <v>62</v>
      </c>
      <c r="J3" s="293" t="s">
        <v>63</v>
      </c>
      <c r="K3" s="293" t="s">
        <v>64</v>
      </c>
      <c r="L3" s="293" t="s">
        <v>41</v>
      </c>
      <c r="M3" s="293" t="s">
        <v>65</v>
      </c>
      <c r="N3" s="293" t="s">
        <v>66</v>
      </c>
      <c r="O3" s="293" t="s">
        <v>44</v>
      </c>
      <c r="P3" s="293" t="s">
        <v>67</v>
      </c>
      <c r="Q3" s="293" t="s">
        <v>68</v>
      </c>
      <c r="R3" s="293" t="s">
        <v>69</v>
      </c>
      <c r="S3" s="293" t="s">
        <v>70</v>
      </c>
      <c r="T3" s="293" t="s">
        <v>71</v>
      </c>
      <c r="U3" s="293" t="s">
        <v>72</v>
      </c>
      <c r="V3" s="293" t="s">
        <v>73</v>
      </c>
      <c r="W3" s="293" t="s">
        <v>36</v>
      </c>
      <c r="X3" s="292" t="s">
        <v>74</v>
      </c>
      <c r="Y3" s="294" t="s">
        <v>24</v>
      </c>
      <c r="Z3" s="295" t="s">
        <v>12</v>
      </c>
      <c r="AA3" s="296" t="s">
        <v>9</v>
      </c>
      <c r="AB3" s="297"/>
      <c r="AC3" s="298" t="s">
        <v>10</v>
      </c>
      <c r="AD3" s="294" t="s">
        <v>11</v>
      </c>
      <c r="AE3" s="299"/>
      <c r="AF3" s="291" t="s">
        <v>25</v>
      </c>
      <c r="AG3" s="300"/>
      <c r="AH3" s="298" t="s">
        <v>12</v>
      </c>
    </row>
    <row r="4" spans="2:34" hidden="1" x14ac:dyDescent="0.25">
      <c r="B4" s="215"/>
      <c r="C4" s="216"/>
      <c r="D4" s="1128"/>
      <c r="E4" s="1129"/>
      <c r="F4" s="217">
        <v>155</v>
      </c>
      <c r="G4" s="218">
        <v>189</v>
      </c>
      <c r="H4" s="218">
        <v>166</v>
      </c>
      <c r="I4" s="218"/>
      <c r="J4" s="218"/>
      <c r="K4" s="218"/>
      <c r="L4" s="218">
        <v>255</v>
      </c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7"/>
      <c r="Y4" s="219"/>
      <c r="Z4" s="220"/>
      <c r="AA4" s="221"/>
      <c r="AB4" s="222"/>
      <c r="AC4" s="223"/>
      <c r="AD4" s="221"/>
      <c r="AE4" s="224"/>
      <c r="AF4" s="225"/>
      <c r="AG4" s="226"/>
      <c r="AH4" s="223"/>
    </row>
    <row r="5" spans="2:34" ht="17.25" x14ac:dyDescent="0.25">
      <c r="B5" s="215" t="s">
        <v>75</v>
      </c>
      <c r="C5" s="216"/>
      <c r="D5" s="1124" t="s">
        <v>76</v>
      </c>
      <c r="E5" s="1125"/>
      <c r="F5" s="227">
        <v>166</v>
      </c>
      <c r="G5" s="228">
        <v>155</v>
      </c>
      <c r="H5" s="228">
        <v>189</v>
      </c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7"/>
      <c r="Y5" s="229">
        <f>(SQRT((0.5*(F5+G5+H5))*((0.5*(F5+G5+H5))-F5)*((0.5*(F5+G5+H5))-G5)*((0.5*(F5+G5+H5))-H5)))/10000</f>
        <v>1.2238749936165867</v>
      </c>
      <c r="Z5" s="230" t="s">
        <v>4</v>
      </c>
      <c r="AA5" s="231" t="s">
        <v>22</v>
      </c>
      <c r="AB5" s="228">
        <f t="shared" ref="AB5:AB26" si="0">IF(AA5="PLUS",1,IF(AA5="MINUS",-1,0))</f>
        <v>1</v>
      </c>
      <c r="AC5" s="232">
        <v>2</v>
      </c>
      <c r="AD5" s="231">
        <f>Y5</f>
        <v>1.2238749936165867</v>
      </c>
      <c r="AE5" s="233">
        <f>AB5*AC5*AD5*10000</f>
        <v>24477.499872331733</v>
      </c>
      <c r="AF5" s="234">
        <v>1.22387</v>
      </c>
      <c r="AG5" s="227">
        <f>AB5*AC5*AF5*10000</f>
        <v>24477.4</v>
      </c>
      <c r="AH5" s="232" t="s">
        <v>2</v>
      </c>
    </row>
    <row r="6" spans="2:34" ht="17.25" x14ac:dyDescent="0.25">
      <c r="B6" s="235"/>
      <c r="C6" s="236" t="s">
        <v>77</v>
      </c>
      <c r="D6" s="1124" t="s">
        <v>78</v>
      </c>
      <c r="E6" s="1125"/>
      <c r="F6" s="227">
        <v>155</v>
      </c>
      <c r="G6" s="228">
        <v>255</v>
      </c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7"/>
      <c r="Y6" s="229">
        <f>(F6*G6)*100</f>
        <v>3952500</v>
      </c>
      <c r="Z6" s="230" t="s">
        <v>3</v>
      </c>
      <c r="AA6" s="231" t="s">
        <v>21</v>
      </c>
      <c r="AB6" s="228">
        <f t="shared" si="0"/>
        <v>-1</v>
      </c>
      <c r="AC6" s="232">
        <v>1</v>
      </c>
      <c r="AD6" s="231">
        <f t="shared" ref="AD6:AD33" si="1">Y6</f>
        <v>3952500</v>
      </c>
      <c r="AE6" s="233">
        <f>AB6*AC6*AD6/100</f>
        <v>-39525</v>
      </c>
      <c r="AF6" s="234">
        <v>3952500</v>
      </c>
      <c r="AG6" s="227">
        <f>AB6*AC6*AF6/100</f>
        <v>-39525</v>
      </c>
      <c r="AH6" s="232" t="s">
        <v>2</v>
      </c>
    </row>
    <row r="7" spans="2:34" ht="17.25" x14ac:dyDescent="0.25">
      <c r="B7" s="235"/>
      <c r="C7" s="236"/>
      <c r="D7" s="1124" t="s">
        <v>79</v>
      </c>
      <c r="E7" s="1125"/>
      <c r="F7" s="227">
        <v>189</v>
      </c>
      <c r="G7" s="228">
        <v>255</v>
      </c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7"/>
      <c r="Y7" s="229">
        <f>(F7*G7)*10000</f>
        <v>481950000</v>
      </c>
      <c r="Z7" s="230" t="s">
        <v>8</v>
      </c>
      <c r="AA7" s="231" t="s">
        <v>80</v>
      </c>
      <c r="AB7" s="228">
        <f t="shared" si="0"/>
        <v>0</v>
      </c>
      <c r="AC7" s="232">
        <v>1</v>
      </c>
      <c r="AD7" s="231">
        <f t="shared" si="1"/>
        <v>481950000</v>
      </c>
      <c r="AE7" s="233">
        <f>AB7*AC7*AD7/10000</f>
        <v>0</v>
      </c>
      <c r="AF7" s="234">
        <v>481950000</v>
      </c>
      <c r="AG7" s="227">
        <f>AB7*AC7*AF7/10000</f>
        <v>0</v>
      </c>
      <c r="AH7" s="232" t="s">
        <v>81</v>
      </c>
    </row>
    <row r="8" spans="2:34" ht="18" thickBot="1" x14ac:dyDescent="0.3">
      <c r="B8" s="237"/>
      <c r="C8" s="238"/>
      <c r="D8" s="1130" t="s">
        <v>82</v>
      </c>
      <c r="E8" s="1131"/>
      <c r="F8" s="239">
        <v>166</v>
      </c>
      <c r="G8" s="240">
        <v>255</v>
      </c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39"/>
      <c r="Y8" s="241">
        <f>F8*G8</f>
        <v>42330</v>
      </c>
      <c r="Z8" s="242" t="s">
        <v>2</v>
      </c>
      <c r="AA8" s="243" t="s">
        <v>22</v>
      </c>
      <c r="AB8" s="240">
        <f t="shared" si="0"/>
        <v>1</v>
      </c>
      <c r="AC8" s="244">
        <v>1</v>
      </c>
      <c r="AD8" s="243">
        <f t="shared" si="1"/>
        <v>42330</v>
      </c>
      <c r="AE8" s="245">
        <f t="shared" ref="AE8:AE26" si="2">AB8*AC8*AD8</f>
        <v>42330</v>
      </c>
      <c r="AF8" s="246">
        <v>42330</v>
      </c>
      <c r="AG8" s="239">
        <f t="shared" ref="AG8:AG26" si="3">AB8*AC8*AF8</f>
        <v>42330</v>
      </c>
      <c r="AH8" s="244" t="s">
        <v>81</v>
      </c>
    </row>
    <row r="9" spans="2:34" hidden="1" x14ac:dyDescent="0.25">
      <c r="B9" s="215"/>
      <c r="C9" s="216"/>
      <c r="D9" s="1132"/>
      <c r="E9" s="1133"/>
      <c r="F9" s="247"/>
      <c r="G9" s="248"/>
      <c r="H9" s="248"/>
      <c r="I9" s="248"/>
      <c r="J9" s="248"/>
      <c r="K9" s="248"/>
      <c r="L9" s="248">
        <v>57</v>
      </c>
      <c r="M9" s="248"/>
      <c r="N9" s="248"/>
      <c r="O9" s="248"/>
      <c r="P9" s="248"/>
      <c r="Q9" s="248"/>
      <c r="R9" s="248"/>
      <c r="S9" s="248"/>
      <c r="T9" s="248">
        <v>315</v>
      </c>
      <c r="U9" s="248"/>
      <c r="V9" s="248"/>
      <c r="W9" s="248"/>
      <c r="X9" s="247">
        <v>17</v>
      </c>
      <c r="Y9" s="219"/>
      <c r="Z9" s="226"/>
      <c r="AA9" s="221"/>
      <c r="AB9" s="222"/>
      <c r="AC9" s="223"/>
      <c r="AD9" s="221"/>
      <c r="AE9" s="224"/>
      <c r="AF9" s="225"/>
      <c r="AG9" s="226"/>
      <c r="AH9" s="223"/>
    </row>
    <row r="10" spans="2:34" ht="17.25" x14ac:dyDescent="0.25">
      <c r="B10" s="215" t="s">
        <v>83</v>
      </c>
      <c r="C10" s="236" t="s">
        <v>84</v>
      </c>
      <c r="D10" s="1124" t="s">
        <v>76</v>
      </c>
      <c r="E10" s="1125"/>
      <c r="F10" s="227">
        <f>2*SIN(((2*PI())/X10)/2)*(T10/COS(((2*PI())/X10)/2))</f>
        <v>117.7674101780256</v>
      </c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>
        <v>315</v>
      </c>
      <c r="U10" s="228"/>
      <c r="V10" s="228"/>
      <c r="W10" s="228"/>
      <c r="X10" s="227">
        <v>17</v>
      </c>
      <c r="Y10" s="229">
        <f>(0.5*X10*((F10)/(2*SIN(((2*PI())/X10)/2)))^2*SIN((2*PI())/X10))*0.9144^2</f>
        <v>263649.55270897277</v>
      </c>
      <c r="Z10" s="227" t="s">
        <v>2</v>
      </c>
      <c r="AA10" s="231" t="s">
        <v>22</v>
      </c>
      <c r="AB10" s="228">
        <f t="shared" si="0"/>
        <v>1</v>
      </c>
      <c r="AC10" s="232">
        <v>2</v>
      </c>
      <c r="AD10" s="231">
        <f t="shared" si="1"/>
        <v>263649.55270897277</v>
      </c>
      <c r="AE10" s="233">
        <f t="shared" si="2"/>
        <v>527299.10541794554</v>
      </c>
      <c r="AF10" s="234">
        <v>263650</v>
      </c>
      <c r="AG10" s="227">
        <f t="shared" si="3"/>
        <v>527300</v>
      </c>
      <c r="AH10" s="232" t="s">
        <v>81</v>
      </c>
    </row>
    <row r="11" spans="2:34" ht="18" thickBot="1" x14ac:dyDescent="0.3">
      <c r="B11" s="235"/>
      <c r="C11" s="236"/>
      <c r="D11" s="1130" t="s">
        <v>85</v>
      </c>
      <c r="E11" s="1131"/>
      <c r="F11" s="239">
        <f>2*SIN(((2*PI())/X11)/2)*(T11/COS(((2*PI())/X11)/2))</f>
        <v>117.7674101780256</v>
      </c>
      <c r="G11" s="240">
        <v>57</v>
      </c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>
        <v>315</v>
      </c>
      <c r="U11" s="240"/>
      <c r="V11" s="240"/>
      <c r="W11" s="240"/>
      <c r="X11" s="239">
        <v>17</v>
      </c>
      <c r="Y11" s="241">
        <f>(F11*G11)*10000/(2.54*2.54)*0.9144^2</f>
        <v>8699714.1246711053</v>
      </c>
      <c r="Z11" s="239" t="s">
        <v>7</v>
      </c>
      <c r="AA11" s="243" t="s">
        <v>21</v>
      </c>
      <c r="AB11" s="240">
        <f t="shared" si="0"/>
        <v>-1</v>
      </c>
      <c r="AC11" s="244">
        <v>17</v>
      </c>
      <c r="AD11" s="243">
        <f t="shared" si="1"/>
        <v>8699714.1246711053</v>
      </c>
      <c r="AE11" s="245">
        <f>AB11*AC11*AD11/10000*(2.54*2.54)</f>
        <v>-95416.028599437777</v>
      </c>
      <c r="AF11" s="246">
        <v>8699714</v>
      </c>
      <c r="AG11" s="239">
        <f>AB11*AC11*AF11/10000*(2.54*2.54)</f>
        <v>-95416.02723208</v>
      </c>
      <c r="AH11" s="244" t="s">
        <v>81</v>
      </c>
    </row>
    <row r="12" spans="2:34" ht="15.75" hidden="1" thickBot="1" x14ac:dyDescent="0.3">
      <c r="B12" s="249"/>
      <c r="C12" s="250"/>
      <c r="D12" s="1128"/>
      <c r="E12" s="1129"/>
      <c r="F12" s="217">
        <v>35</v>
      </c>
      <c r="G12" s="218">
        <v>25</v>
      </c>
      <c r="H12" s="218"/>
      <c r="I12" s="218"/>
      <c r="J12" s="218">
        <v>17</v>
      </c>
      <c r="K12" s="218">
        <f>G12*(N12/(L12+N12))</f>
        <v>12.142857142857142</v>
      </c>
      <c r="L12" s="218">
        <v>97</v>
      </c>
      <c r="M12" s="218"/>
      <c r="N12" s="218">
        <f>L12*(J12/(F12-J12))</f>
        <v>91.611111111111114</v>
      </c>
      <c r="O12" s="218"/>
      <c r="P12" s="218"/>
      <c r="Q12" s="218"/>
      <c r="R12" s="218"/>
      <c r="S12" s="218"/>
      <c r="T12" s="218"/>
      <c r="U12" s="218"/>
      <c r="V12" s="218"/>
      <c r="W12" s="218"/>
      <c r="X12" s="217"/>
      <c r="Y12" s="251"/>
      <c r="Z12" s="252"/>
      <c r="AA12" s="253"/>
      <c r="AB12" s="254"/>
      <c r="AC12" s="255"/>
      <c r="AD12" s="253"/>
      <c r="AE12" s="256"/>
      <c r="AF12" s="257"/>
      <c r="AG12" s="252"/>
      <c r="AH12" s="255"/>
    </row>
    <row r="13" spans="2:34" ht="17.25" x14ac:dyDescent="0.25">
      <c r="B13" s="249" t="s">
        <v>86</v>
      </c>
      <c r="C13" s="250"/>
      <c r="D13" s="1124" t="s">
        <v>87</v>
      </c>
      <c r="E13" s="1125"/>
      <c r="F13" s="227">
        <v>35</v>
      </c>
      <c r="G13" s="228">
        <v>25</v>
      </c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7"/>
      <c r="Y13" s="229">
        <f>(F13*G13)*1000000*0.3048^2</f>
        <v>81290160</v>
      </c>
      <c r="Z13" s="227" t="s">
        <v>5</v>
      </c>
      <c r="AA13" s="231" t="s">
        <v>80</v>
      </c>
      <c r="AB13" s="228">
        <f t="shared" si="0"/>
        <v>0</v>
      </c>
      <c r="AC13" s="232">
        <v>1</v>
      </c>
      <c r="AD13" s="231">
        <f t="shared" si="1"/>
        <v>81290160</v>
      </c>
      <c r="AE13" s="233">
        <f>AB13*AC13*AD13/1000000</f>
        <v>0</v>
      </c>
      <c r="AF13" s="234">
        <v>81290160</v>
      </c>
      <c r="AG13" s="227">
        <f>AB13*AC13*AF13/1000000</f>
        <v>0</v>
      </c>
      <c r="AH13" s="232" t="s">
        <v>81</v>
      </c>
    </row>
    <row r="14" spans="2:34" ht="17.25" x14ac:dyDescent="0.25">
      <c r="B14" s="235"/>
      <c r="C14" s="236" t="s">
        <v>88</v>
      </c>
      <c r="D14" s="1124" t="s">
        <v>89</v>
      </c>
      <c r="E14" s="1125"/>
      <c r="F14" s="227">
        <v>17</v>
      </c>
      <c r="G14" s="228">
        <f>G12*(N12/(L12+N12))</f>
        <v>12.142857142857142</v>
      </c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7"/>
      <c r="Y14" s="229">
        <f>(F14*G14)/4046.8564224*0.3048^2</f>
        <v>4.7389479207661026E-3</v>
      </c>
      <c r="Z14" s="227" t="s">
        <v>1</v>
      </c>
      <c r="AA14" s="231" t="s">
        <v>22</v>
      </c>
      <c r="AB14" s="228">
        <f t="shared" si="0"/>
        <v>1</v>
      </c>
      <c r="AC14" s="232">
        <v>1</v>
      </c>
      <c r="AD14" s="231">
        <f t="shared" si="1"/>
        <v>4.7389479207661026E-3</v>
      </c>
      <c r="AE14" s="233">
        <f>AB14*AC14*AD14*4046.8564224</f>
        <v>19.177841828571431</v>
      </c>
      <c r="AF14" s="234">
        <v>4.7389499999999996E-3</v>
      </c>
      <c r="AG14" s="227">
        <f>AB14*AC14*AF14*4046.8564224</f>
        <v>19.177850242932479</v>
      </c>
      <c r="AH14" s="232" t="s">
        <v>81</v>
      </c>
    </row>
    <row r="15" spans="2:34" ht="17.25" x14ac:dyDescent="0.25">
      <c r="B15" s="235"/>
      <c r="C15" s="236"/>
      <c r="D15" s="1124" t="s">
        <v>90</v>
      </c>
      <c r="E15" s="1125"/>
      <c r="F15" s="227">
        <v>35</v>
      </c>
      <c r="G15" s="228">
        <v>97.628512900000004</v>
      </c>
      <c r="H15" s="228">
        <v>17</v>
      </c>
      <c r="I15" s="228">
        <v>97.628512900000004</v>
      </c>
      <c r="J15" s="228"/>
      <c r="K15" s="228"/>
      <c r="L15" s="228"/>
      <c r="M15" s="228"/>
      <c r="N15" s="228"/>
      <c r="O15" s="228"/>
      <c r="P15" s="228">
        <v>100.62965036</v>
      </c>
      <c r="Q15" s="228"/>
      <c r="R15" s="228"/>
      <c r="S15" s="228"/>
      <c r="T15" s="228"/>
      <c r="U15" s="228"/>
      <c r="V15" s="228"/>
      <c r="W15" s="228"/>
      <c r="X15" s="227"/>
      <c r="Y15" s="229">
        <f>(SQRT((0.5*(F15+G15+P15))*((0.5*(F15+G15+P15))-F15)*((0.5*(F15+G15+P15))-G15)*((0.5*(F15+G15+P15))-P15))+(SQRT((0.5*(P15+H15+I15))*((0.5*(P15+H15+I15))-P15)*((0.5*(P15+H15+I15))-H15)*((0.5*(P15+H15+I15))-I15))))/4046.8564224*0.3048^2</f>
        <v>5.8024162967420266E-2</v>
      </c>
      <c r="Z15" s="227" t="s">
        <v>1</v>
      </c>
      <c r="AA15" s="231" t="s">
        <v>21</v>
      </c>
      <c r="AB15" s="228">
        <f t="shared" si="0"/>
        <v>-1</v>
      </c>
      <c r="AC15" s="232">
        <v>2</v>
      </c>
      <c r="AD15" s="231">
        <f t="shared" si="1"/>
        <v>5.8024162967420266E-2</v>
      </c>
      <c r="AE15" s="233">
        <f>AB15*AC15*AD15*4046.8564224</f>
        <v>-469.63091311817789</v>
      </c>
      <c r="AF15" s="234">
        <v>5.8024199999999998E-2</v>
      </c>
      <c r="AG15" s="227">
        <f>AB15*AC15*AF15*4046.8564224</f>
        <v>-469.63121284924415</v>
      </c>
      <c r="AH15" s="232" t="s">
        <v>81</v>
      </c>
    </row>
    <row r="16" spans="2:34" ht="18" thickBot="1" x14ac:dyDescent="0.3">
      <c r="B16" s="237"/>
      <c r="C16" s="238"/>
      <c r="D16" s="1130" t="s">
        <v>91</v>
      </c>
      <c r="E16" s="1131"/>
      <c r="F16" s="239">
        <v>25</v>
      </c>
      <c r="G16" s="240">
        <v>97.628512900000004</v>
      </c>
      <c r="H16" s="240">
        <v>12.14285714</v>
      </c>
      <c r="I16" s="240">
        <v>97.628512900000004</v>
      </c>
      <c r="J16" s="240"/>
      <c r="K16" s="240"/>
      <c r="L16" s="240"/>
      <c r="M16" s="240"/>
      <c r="N16" s="240"/>
      <c r="O16" s="240"/>
      <c r="P16" s="240">
        <v>99.171054040000001</v>
      </c>
      <c r="Q16" s="240"/>
      <c r="R16" s="240"/>
      <c r="S16" s="240"/>
      <c r="T16" s="240"/>
      <c r="U16" s="240"/>
      <c r="V16" s="240"/>
      <c r="W16" s="240"/>
      <c r="X16" s="239"/>
      <c r="Y16" s="241">
        <f>(SQRT((0.5*(F16+G16+P16))*((0.5*(F16+G16+P16))-F16)*((0.5*(F16+G16+P16))-G16)*((0.5*(F16+G16+P16))-P16))+(SQRT((0.5*(P16+H16+I16))*((0.5*(P16+H16+I16))-P16)*((0.5*(P16+H16+I16))-H16)*((0.5*(P16+H16+I16))-I16))))/144*10000/(2.54*2.54)*0.3048^2</f>
        <v>1809.1660046274069</v>
      </c>
      <c r="Z16" s="239" t="s">
        <v>6</v>
      </c>
      <c r="AA16" s="243" t="s">
        <v>80</v>
      </c>
      <c r="AB16" s="240">
        <f t="shared" si="0"/>
        <v>0</v>
      </c>
      <c r="AC16" s="244">
        <v>2</v>
      </c>
      <c r="AD16" s="243">
        <f t="shared" si="1"/>
        <v>1809.1660046274069</v>
      </c>
      <c r="AE16" s="245">
        <f>AB16*AC16*AD16*144/10000*(2.54*2.54)</f>
        <v>0</v>
      </c>
      <c r="AF16" s="246">
        <v>1809.17</v>
      </c>
      <c r="AG16" s="239">
        <f>AB16*AC16*AF16*144/10000*(2.54*2.54)</f>
        <v>0</v>
      </c>
      <c r="AH16" s="244" t="s">
        <v>81</v>
      </c>
    </row>
    <row r="17" spans="2:34" hidden="1" x14ac:dyDescent="0.25">
      <c r="B17" s="258"/>
      <c r="C17" s="259"/>
      <c r="D17" s="1132"/>
      <c r="E17" s="1133"/>
      <c r="F17" s="247">
        <v>56</v>
      </c>
      <c r="G17" s="248"/>
      <c r="H17" s="248"/>
      <c r="I17" s="248"/>
      <c r="J17" s="248">
        <v>8</v>
      </c>
      <c r="K17" s="248"/>
      <c r="L17" s="248">
        <v>78</v>
      </c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7">
        <v>78</v>
      </c>
      <c r="Y17" s="219"/>
      <c r="Z17" s="226"/>
      <c r="AA17" s="221"/>
      <c r="AB17" s="222"/>
      <c r="AC17" s="223"/>
      <c r="AD17" s="221"/>
      <c r="AE17" s="224"/>
      <c r="AF17" s="225"/>
      <c r="AG17" s="226"/>
      <c r="AH17" s="223"/>
    </row>
    <row r="18" spans="2:34" ht="17.25" x14ac:dyDescent="0.25">
      <c r="B18" s="1134" t="s">
        <v>92</v>
      </c>
      <c r="C18" s="259"/>
      <c r="D18" s="1124" t="s">
        <v>87</v>
      </c>
      <c r="E18" s="1125"/>
      <c r="F18" s="227">
        <v>56</v>
      </c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7">
        <v>78</v>
      </c>
      <c r="Y18" s="229">
        <f>(0.5*X18*((F18)/(2*SIN(((2*PI())/X18)/2)))^2*SIN((2*PI())/X18))*(2.54/100)^2</f>
        <v>979.01173796566127</v>
      </c>
      <c r="Z18" s="227" t="s">
        <v>2</v>
      </c>
      <c r="AA18" s="231" t="s">
        <v>21</v>
      </c>
      <c r="AB18" s="228">
        <f t="shared" si="0"/>
        <v>-1</v>
      </c>
      <c r="AC18" s="232">
        <v>1</v>
      </c>
      <c r="AD18" s="231">
        <f t="shared" si="1"/>
        <v>979.01173796566127</v>
      </c>
      <c r="AE18" s="233">
        <f t="shared" si="2"/>
        <v>-979.01173796566127</v>
      </c>
      <c r="AF18" s="234">
        <v>979.01199999999994</v>
      </c>
      <c r="AG18" s="227">
        <f t="shared" si="3"/>
        <v>-979.01199999999994</v>
      </c>
      <c r="AH18" s="232" t="s">
        <v>81</v>
      </c>
    </row>
    <row r="19" spans="2:34" ht="17.25" x14ac:dyDescent="0.25">
      <c r="B19" s="1135"/>
      <c r="C19" s="236" t="s">
        <v>93</v>
      </c>
      <c r="D19" s="1124" t="s">
        <v>89</v>
      </c>
      <c r="E19" s="1125"/>
      <c r="F19" s="227">
        <v>8</v>
      </c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7">
        <v>78</v>
      </c>
      <c r="Y19" s="229">
        <f>(0.5*X19*((F19)/(2*SIN(((2*PI())/X19)/2)))^2*SIN((2*PI())/X19))*1000000*(2.54/100)^2</f>
        <v>19979831.387054309</v>
      </c>
      <c r="Z19" s="227" t="s">
        <v>5</v>
      </c>
      <c r="AA19" s="231" t="s">
        <v>22</v>
      </c>
      <c r="AB19" s="228">
        <f t="shared" si="0"/>
        <v>1</v>
      </c>
      <c r="AC19" s="232">
        <v>1</v>
      </c>
      <c r="AD19" s="231">
        <f t="shared" si="1"/>
        <v>19979831.387054309</v>
      </c>
      <c r="AE19" s="233">
        <f>AB19*AC19*AD19/1000000</f>
        <v>19.979831387054308</v>
      </c>
      <c r="AF19" s="234">
        <v>19979831</v>
      </c>
      <c r="AG19" s="227">
        <f>AB19*AC19*AF19/1000000</f>
        <v>19.979831000000001</v>
      </c>
      <c r="AH19" s="232" t="s">
        <v>81</v>
      </c>
    </row>
    <row r="20" spans="2:34" ht="18" thickBot="1" x14ac:dyDescent="0.3">
      <c r="B20" s="235"/>
      <c r="C20" s="236"/>
      <c r="D20" s="1130" t="s">
        <v>85</v>
      </c>
      <c r="E20" s="1131"/>
      <c r="F20" s="239">
        <v>56</v>
      </c>
      <c r="G20" s="240">
        <v>601.11928694000005</v>
      </c>
      <c r="H20" s="240">
        <v>8</v>
      </c>
      <c r="I20" s="240">
        <v>601.11928694000005</v>
      </c>
      <c r="J20" s="240"/>
      <c r="K20" s="240"/>
      <c r="L20" s="240"/>
      <c r="M20" s="240"/>
      <c r="N20" s="240"/>
      <c r="O20" s="240"/>
      <c r="P20" s="240">
        <v>601.49180968999997</v>
      </c>
      <c r="Q20" s="240"/>
      <c r="R20" s="240"/>
      <c r="S20" s="240"/>
      <c r="T20" s="240"/>
      <c r="U20" s="240"/>
      <c r="V20" s="240"/>
      <c r="W20" s="240"/>
      <c r="X20" s="239">
        <v>78</v>
      </c>
      <c r="Y20" s="241">
        <f>SQRT((0.5*(F20+G20+P20))*((0.5*(F20+G20+P20))-F20)*((0.5*(F20+G20+P20))-G20)*((0.5*(F20+G20+P20))-P20))+(SQRT((0.5*(P20+H20+I20))*((0.5*(P20+H20+I20))-P20)*((0.5*(P20+H20+I20))-H20)*((0.5*(P20+H20+I20))-I20)))</f>
        <v>19220.479667854393</v>
      </c>
      <c r="Z20" s="239" t="s">
        <v>7</v>
      </c>
      <c r="AA20" s="243" t="s">
        <v>22</v>
      </c>
      <c r="AB20" s="240">
        <f t="shared" si="0"/>
        <v>1</v>
      </c>
      <c r="AC20" s="244">
        <v>78</v>
      </c>
      <c r="AD20" s="243">
        <f t="shared" si="1"/>
        <v>19220.479667854393</v>
      </c>
      <c r="AE20" s="245">
        <f>AB20*AC20*AD20/10000*(2.54*2.54)</f>
        <v>967.22220367600937</v>
      </c>
      <c r="AF20" s="246">
        <v>19220.5</v>
      </c>
      <c r="AG20" s="239">
        <f>AB20*AC20*AF20/10000*(2.54*2.54)</f>
        <v>967.22322684000005</v>
      </c>
      <c r="AH20" s="244" t="s">
        <v>81</v>
      </c>
    </row>
    <row r="21" spans="2:34" ht="15.75" hidden="1" thickBot="1" x14ac:dyDescent="0.3">
      <c r="B21" s="249"/>
      <c r="C21" s="250"/>
      <c r="D21" s="1132"/>
      <c r="E21" s="1133"/>
      <c r="F21" s="247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>
        <v>745</v>
      </c>
      <c r="R21" s="248"/>
      <c r="S21" s="248"/>
      <c r="T21" s="248"/>
      <c r="U21" s="248"/>
      <c r="V21" s="248"/>
      <c r="W21" s="248"/>
      <c r="X21" s="247"/>
      <c r="Y21" s="219"/>
      <c r="Z21" s="226"/>
      <c r="AA21" s="221"/>
      <c r="AB21" s="222"/>
      <c r="AC21" s="223"/>
      <c r="AD21" s="221"/>
      <c r="AE21" s="224"/>
      <c r="AF21" s="225"/>
      <c r="AG21" s="226"/>
      <c r="AH21" s="223"/>
    </row>
    <row r="22" spans="2:34" ht="18" thickBot="1" x14ac:dyDescent="0.3">
      <c r="B22" s="214" t="s">
        <v>94</v>
      </c>
      <c r="C22" s="260" t="s">
        <v>95</v>
      </c>
      <c r="D22" s="1136" t="s">
        <v>96</v>
      </c>
      <c r="E22" s="1137"/>
      <c r="F22" s="261">
        <f>Q22*SQRT(1/2)</f>
        <v>526.79455198397795</v>
      </c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>
        <v>745</v>
      </c>
      <c r="R22" s="262"/>
      <c r="S22" s="262"/>
      <c r="T22" s="262"/>
      <c r="U22" s="262"/>
      <c r="V22" s="262"/>
      <c r="W22" s="262"/>
      <c r="X22" s="261"/>
      <c r="Y22" s="263">
        <f>(F22^2)/1000000^2</f>
        <v>2.7751250000000007E-7</v>
      </c>
      <c r="Z22" s="264" t="s">
        <v>97</v>
      </c>
      <c r="AA22" s="265" t="s">
        <v>22</v>
      </c>
      <c r="AB22" s="262">
        <f t="shared" si="0"/>
        <v>1</v>
      </c>
      <c r="AC22" s="266">
        <v>6</v>
      </c>
      <c r="AD22" s="265">
        <f t="shared" si="1"/>
        <v>2.7751250000000007E-7</v>
      </c>
      <c r="AE22" s="267">
        <f t="shared" si="2"/>
        <v>1.6650750000000003E-6</v>
      </c>
      <c r="AF22" s="268">
        <v>2.7751250000000002E-7</v>
      </c>
      <c r="AG22" s="261">
        <f t="shared" si="3"/>
        <v>1.6650750000000001E-6</v>
      </c>
      <c r="AH22" s="266" t="s">
        <v>81</v>
      </c>
    </row>
    <row r="23" spans="2:34" ht="15.75" hidden="1" thickBot="1" x14ac:dyDescent="0.3">
      <c r="B23" s="215"/>
      <c r="C23" s="216"/>
      <c r="D23" s="1132"/>
      <c r="E23" s="1133"/>
      <c r="F23" s="247">
        <v>238</v>
      </c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>
        <v>32</v>
      </c>
      <c r="S23" s="248">
        <v>167</v>
      </c>
      <c r="T23" s="248"/>
      <c r="U23" s="248"/>
      <c r="V23" s="248"/>
      <c r="W23" s="248"/>
      <c r="X23" s="247"/>
      <c r="Y23" s="219"/>
      <c r="Z23" s="226"/>
      <c r="AA23" s="221"/>
      <c r="AB23" s="222"/>
      <c r="AC23" s="223"/>
      <c r="AD23" s="221"/>
      <c r="AE23" s="224"/>
      <c r="AF23" s="225"/>
      <c r="AG23" s="226"/>
      <c r="AH23" s="223"/>
    </row>
    <row r="24" spans="2:34" ht="17.25" x14ac:dyDescent="0.25">
      <c r="B24" s="249" t="s">
        <v>98</v>
      </c>
      <c r="C24" s="269"/>
      <c r="D24" s="1138" t="s">
        <v>99</v>
      </c>
      <c r="E24" s="1139"/>
      <c r="F24" s="270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>
        <v>32</v>
      </c>
      <c r="V24" s="271"/>
      <c r="W24" s="271"/>
      <c r="X24" s="270"/>
      <c r="Y24" s="272">
        <f>(PI()*U24^2)/144*10000/(2.54*2.54)/100^2</f>
        <v>3.4627401614370728</v>
      </c>
      <c r="Z24" s="270" t="s">
        <v>6</v>
      </c>
      <c r="AA24" s="273" t="s">
        <v>22</v>
      </c>
      <c r="AB24" s="271">
        <f t="shared" si="0"/>
        <v>1</v>
      </c>
      <c r="AC24" s="274">
        <v>1</v>
      </c>
      <c r="AD24" s="273">
        <f t="shared" si="1"/>
        <v>3.4627401614370728</v>
      </c>
      <c r="AE24" s="275">
        <f>AB24*AC24*AD24*144/10000*(2.54*2.54)</f>
        <v>0.32169908772759481</v>
      </c>
      <c r="AF24" s="276">
        <v>3.4627400000000002</v>
      </c>
      <c r="AG24" s="270">
        <f>AB24*AC24*AF24*144/10000*(2.54*2.54)</f>
        <v>0.32169907272960002</v>
      </c>
      <c r="AH24" s="274" t="s">
        <v>81</v>
      </c>
    </row>
    <row r="25" spans="2:34" ht="17.25" x14ac:dyDescent="0.25">
      <c r="B25" s="235"/>
      <c r="C25" s="236" t="s">
        <v>100</v>
      </c>
      <c r="D25" s="1124" t="s">
        <v>101</v>
      </c>
      <c r="E25" s="1125"/>
      <c r="F25" s="227"/>
      <c r="G25" s="228"/>
      <c r="H25" s="228"/>
      <c r="I25" s="228"/>
      <c r="J25" s="228"/>
      <c r="K25" s="228"/>
      <c r="L25" s="228"/>
      <c r="M25" s="228"/>
      <c r="N25" s="228"/>
      <c r="O25" s="228">
        <v>204.20168067</v>
      </c>
      <c r="P25" s="228"/>
      <c r="Q25" s="228"/>
      <c r="R25" s="228"/>
      <c r="S25" s="228"/>
      <c r="T25" s="228"/>
      <c r="U25" s="228">
        <v>294.41481481</v>
      </c>
      <c r="V25" s="228">
        <v>56.414814810000003</v>
      </c>
      <c r="W25" s="228"/>
      <c r="X25" s="227"/>
      <c r="Y25" s="229">
        <f>((((O25*PI()/180)*U25^2)/2)-(((O25*PI()/180)*V25^2)/2))*1000000/100^2</f>
        <v>14879211.125358248</v>
      </c>
      <c r="Z25" s="227" t="s">
        <v>5</v>
      </c>
      <c r="AA25" s="231" t="s">
        <v>22</v>
      </c>
      <c r="AB25" s="228">
        <f t="shared" si="0"/>
        <v>1</v>
      </c>
      <c r="AC25" s="232">
        <v>1</v>
      </c>
      <c r="AD25" s="231">
        <f t="shared" si="1"/>
        <v>14879211.125358248</v>
      </c>
      <c r="AE25" s="233">
        <f>AB25*AC25*AD25/1000000</f>
        <v>14.879211125358248</v>
      </c>
      <c r="AF25" s="234">
        <v>14879211</v>
      </c>
      <c r="AG25" s="227">
        <f>AB25*AC25*AF25/1000000</f>
        <v>14.879211</v>
      </c>
      <c r="AH25" s="232" t="s">
        <v>81</v>
      </c>
    </row>
    <row r="26" spans="2:34" ht="18" thickBot="1" x14ac:dyDescent="0.3">
      <c r="B26" s="237"/>
      <c r="C26" s="238"/>
      <c r="D26" s="1130" t="s">
        <v>87</v>
      </c>
      <c r="E26" s="1131"/>
      <c r="F26" s="239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>
        <v>167</v>
      </c>
      <c r="V26" s="240"/>
      <c r="W26" s="240"/>
      <c r="X26" s="239"/>
      <c r="Y26" s="241">
        <f>(PI()*U26^2)/100^2</f>
        <v>8.7615877515965739</v>
      </c>
      <c r="Z26" s="242" t="s">
        <v>2</v>
      </c>
      <c r="AA26" s="243" t="s">
        <v>22</v>
      </c>
      <c r="AB26" s="240">
        <f t="shared" si="0"/>
        <v>1</v>
      </c>
      <c r="AC26" s="244">
        <v>1</v>
      </c>
      <c r="AD26" s="243">
        <f t="shared" si="1"/>
        <v>8.7615877515965739</v>
      </c>
      <c r="AE26" s="245">
        <f t="shared" si="2"/>
        <v>8.7615877515965739</v>
      </c>
      <c r="AF26" s="246">
        <v>8.76159</v>
      </c>
      <c r="AG26" s="239">
        <f t="shared" si="3"/>
        <v>8.76159</v>
      </c>
      <c r="AH26" s="244" t="s">
        <v>81</v>
      </c>
    </row>
    <row r="27" spans="2:34" hidden="1" x14ac:dyDescent="0.25">
      <c r="B27" s="215"/>
      <c r="C27" s="216"/>
      <c r="D27" s="1132"/>
      <c r="E27" s="1133"/>
      <c r="F27" s="247">
        <v>78</v>
      </c>
      <c r="G27" s="248">
        <v>56</v>
      </c>
      <c r="H27" s="248">
        <f>SQRT(P27^2-F27^2-G27^2)</f>
        <v>136.63454907160195</v>
      </c>
      <c r="I27" s="248"/>
      <c r="J27" s="248"/>
      <c r="K27" s="248"/>
      <c r="L27" s="248"/>
      <c r="M27" s="248"/>
      <c r="N27" s="248"/>
      <c r="O27" s="248"/>
      <c r="P27" s="248">
        <v>167</v>
      </c>
      <c r="Q27" s="248">
        <f>SQRT(F27^2+H27^2)</f>
        <v>157.33086156250465</v>
      </c>
      <c r="R27" s="248"/>
      <c r="S27" s="248"/>
      <c r="T27" s="248"/>
      <c r="U27" s="248"/>
      <c r="V27" s="248"/>
      <c r="W27" s="248"/>
      <c r="X27" s="247"/>
      <c r="Y27" s="219"/>
      <c r="Z27" s="226"/>
      <c r="AA27" s="221"/>
      <c r="AB27" s="222"/>
      <c r="AC27" s="223"/>
      <c r="AD27" s="221"/>
      <c r="AE27" s="224"/>
      <c r="AF27" s="225"/>
      <c r="AG27" s="226"/>
      <c r="AH27" s="223"/>
    </row>
    <row r="28" spans="2:34" ht="17.25" x14ac:dyDescent="0.25">
      <c r="B28" s="215" t="s">
        <v>102</v>
      </c>
      <c r="C28" s="236"/>
      <c r="D28" s="1124" t="s">
        <v>76</v>
      </c>
      <c r="E28" s="1125"/>
      <c r="F28" s="227">
        <v>78</v>
      </c>
      <c r="G28" s="228">
        <v>56</v>
      </c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7"/>
      <c r="Y28" s="229">
        <f>(F28*G28)/100^2</f>
        <v>0.43680000000000002</v>
      </c>
      <c r="Z28" s="227" t="s">
        <v>2</v>
      </c>
      <c r="AA28" s="231" t="s">
        <v>22</v>
      </c>
      <c r="AB28" s="228">
        <f>IF(AA28="PLUS",1,IF(AA28="MINUS",-1,0))</f>
        <v>1</v>
      </c>
      <c r="AC28" s="232">
        <v>2</v>
      </c>
      <c r="AD28" s="231">
        <f t="shared" si="1"/>
        <v>0.43680000000000002</v>
      </c>
      <c r="AE28" s="233">
        <f>AB28*AC28*AD28</f>
        <v>0.87360000000000004</v>
      </c>
      <c r="AF28" s="234">
        <v>0.43680000000000002</v>
      </c>
      <c r="AG28" s="227">
        <f>AB28*AC28*AF28</f>
        <v>0.87360000000000004</v>
      </c>
      <c r="AH28" s="232" t="s">
        <v>81</v>
      </c>
    </row>
    <row r="29" spans="2:34" ht="17.25" x14ac:dyDescent="0.25">
      <c r="B29" s="235"/>
      <c r="C29" s="236" t="s">
        <v>103</v>
      </c>
      <c r="D29" s="1124" t="s">
        <v>104</v>
      </c>
      <c r="E29" s="1125"/>
      <c r="F29" s="227">
        <v>78</v>
      </c>
      <c r="G29" s="228">
        <f>SQRT(Q27^2-F27^2)</f>
        <v>136.63454907160195</v>
      </c>
      <c r="H29" s="228"/>
      <c r="I29" s="228"/>
      <c r="J29" s="228"/>
      <c r="K29" s="228"/>
      <c r="L29" s="228"/>
      <c r="M29" s="228"/>
      <c r="N29" s="228"/>
      <c r="O29" s="228"/>
      <c r="P29" s="228"/>
      <c r="Q29" s="228">
        <f>SQRT(F27^2+H27^2)</f>
        <v>157.33086156250465</v>
      </c>
      <c r="R29" s="228"/>
      <c r="S29" s="228"/>
      <c r="T29" s="228"/>
      <c r="U29" s="228"/>
      <c r="V29" s="228"/>
      <c r="W29" s="228"/>
      <c r="X29" s="227"/>
      <c r="Y29" s="229">
        <f>(F29*G29)/100</f>
        <v>106.57494827584952</v>
      </c>
      <c r="Z29" s="227" t="s">
        <v>3</v>
      </c>
      <c r="AA29" s="231" t="s">
        <v>22</v>
      </c>
      <c r="AB29" s="228">
        <f>IF(AA29="PLUS",1,IF(AA29="MINUS",-1,0))</f>
        <v>1</v>
      </c>
      <c r="AC29" s="232">
        <v>2</v>
      </c>
      <c r="AD29" s="231">
        <f t="shared" si="1"/>
        <v>106.57494827584952</v>
      </c>
      <c r="AE29" s="233">
        <f>AB29*AC29*AD29/100</f>
        <v>2.1314989655169905</v>
      </c>
      <c r="AF29" s="234">
        <v>106.575</v>
      </c>
      <c r="AG29" s="227">
        <f>AB29*AC29*AF29/100</f>
        <v>2.1315</v>
      </c>
      <c r="AH29" s="232" t="s">
        <v>81</v>
      </c>
    </row>
    <row r="30" spans="2:34" ht="18" thickBot="1" x14ac:dyDescent="0.3">
      <c r="B30" s="237"/>
      <c r="C30" s="238"/>
      <c r="D30" s="1130" t="s">
        <v>105</v>
      </c>
      <c r="E30" s="1131"/>
      <c r="F30" s="239">
        <v>56</v>
      </c>
      <c r="G30" s="240">
        <f>SQRT(P27^2-F27^2-G27^2)</f>
        <v>136.63454907160195</v>
      </c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39"/>
      <c r="Y30" s="241">
        <f>(F30*G30)/100/100^2</f>
        <v>7.6515347480097095E-3</v>
      </c>
      <c r="Z30" s="239" t="s">
        <v>0</v>
      </c>
      <c r="AA30" s="243" t="s">
        <v>22</v>
      </c>
      <c r="AB30" s="240">
        <f>IF(AA30="PLUS",1,IF(AA30="MINUS",-1,0))</f>
        <v>1</v>
      </c>
      <c r="AC30" s="244">
        <v>2</v>
      </c>
      <c r="AD30" s="243">
        <f t="shared" si="1"/>
        <v>7.6515347480097095E-3</v>
      </c>
      <c r="AE30" s="245">
        <f>AB30*AC30*AD30*100</f>
        <v>1.5303069496019419</v>
      </c>
      <c r="AF30" s="246">
        <v>7.6515300000000001E-3</v>
      </c>
      <c r="AG30" s="239">
        <f>AB30*AC30*AF30*100</f>
        <v>1.5303059999999999</v>
      </c>
      <c r="AH30" s="244" t="s">
        <v>81</v>
      </c>
    </row>
    <row r="31" spans="2:34" hidden="1" x14ac:dyDescent="0.25">
      <c r="B31" s="215"/>
      <c r="C31" s="216"/>
      <c r="D31" s="1132"/>
      <c r="E31" s="1133"/>
      <c r="F31" s="247"/>
      <c r="G31" s="248"/>
      <c r="H31" s="248"/>
      <c r="I31" s="248"/>
      <c r="J31" s="248"/>
      <c r="K31" s="248"/>
      <c r="L31" s="248">
        <v>357</v>
      </c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>
        <v>156</v>
      </c>
      <c r="X31" s="247"/>
      <c r="Y31" s="219"/>
      <c r="Z31" s="226"/>
      <c r="AA31" s="221"/>
      <c r="AB31" s="222"/>
      <c r="AC31" s="223"/>
      <c r="AD31" s="221"/>
      <c r="AE31" s="224"/>
      <c r="AF31" s="225"/>
      <c r="AG31" s="226"/>
      <c r="AH31" s="223"/>
    </row>
    <row r="32" spans="2:34" ht="17.25" x14ac:dyDescent="0.25">
      <c r="B32" s="215" t="s">
        <v>106</v>
      </c>
      <c r="C32" s="236" t="s">
        <v>107</v>
      </c>
      <c r="D32" s="1124" t="s">
        <v>76</v>
      </c>
      <c r="E32" s="1125"/>
      <c r="F32" s="227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>
        <f>W32/2</f>
        <v>78</v>
      </c>
      <c r="V32" s="228"/>
      <c r="W32" s="228">
        <v>156</v>
      </c>
      <c r="X32" s="227"/>
      <c r="Y32" s="229">
        <f>(PI()*U32^2)/4046.8564224</f>
        <v>4.7230362803691985</v>
      </c>
      <c r="Z32" s="227" t="s">
        <v>1</v>
      </c>
      <c r="AA32" s="231" t="s">
        <v>22</v>
      </c>
      <c r="AB32" s="228">
        <f>IF(AA32="PLUS",1,IF(AA32="MINUS",-1,0))</f>
        <v>1</v>
      </c>
      <c r="AC32" s="232">
        <v>2</v>
      </c>
      <c r="AD32" s="231">
        <f t="shared" si="1"/>
        <v>4.7230362803691985</v>
      </c>
      <c r="AE32" s="233">
        <f>AB32*AC32*AD32*4046.8564224</f>
        <v>38226.899408880599</v>
      </c>
      <c r="AF32" s="234">
        <v>4.7230400000000001</v>
      </c>
      <c r="AG32" s="227">
        <f>AB32*AC32*AF32*4046.8564224</f>
        <v>38226.929514504198</v>
      </c>
      <c r="AH32" s="232" t="s">
        <v>81</v>
      </c>
    </row>
    <row r="33" spans="2:34" ht="18" thickBot="1" x14ac:dyDescent="0.3">
      <c r="B33" s="277"/>
      <c r="C33" s="278"/>
      <c r="D33" s="1140" t="s">
        <v>101</v>
      </c>
      <c r="E33" s="1141"/>
      <c r="F33" s="279">
        <v>357</v>
      </c>
      <c r="G33" s="280">
        <f>2*PI()*U32</f>
        <v>490.08845396000771</v>
      </c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79"/>
      <c r="Y33" s="281">
        <f>(F33*G33)/10000</f>
        <v>17.496157806372278</v>
      </c>
      <c r="Z33" s="279" t="s">
        <v>4</v>
      </c>
      <c r="AA33" s="277" t="s">
        <v>22</v>
      </c>
      <c r="AB33" s="280">
        <f>IF(AA33="PLUS",1,IF(AA33="MINUS",-1,0))</f>
        <v>1</v>
      </c>
      <c r="AC33" s="282">
        <v>1</v>
      </c>
      <c r="AD33" s="283">
        <f t="shared" si="1"/>
        <v>17.496157806372278</v>
      </c>
      <c r="AE33" s="284">
        <f>AB33*AC33*AD33*10000</f>
        <v>174961.57806372279</v>
      </c>
      <c r="AF33" s="278">
        <v>17.496200000000002</v>
      </c>
      <c r="AG33" s="279">
        <f>AB33*AC33*AF33*10000</f>
        <v>174962.00000000003</v>
      </c>
      <c r="AH33" s="285" t="s">
        <v>81</v>
      </c>
    </row>
    <row r="34" spans="2:34" ht="16.5" thickTop="1" thickBot="1" x14ac:dyDescent="0.3">
      <c r="B34" s="235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86"/>
      <c r="Z34" s="287"/>
      <c r="AA34" s="287"/>
      <c r="AB34" s="287"/>
      <c r="AC34" s="287"/>
      <c r="AD34" s="217"/>
      <c r="AE34" s="217"/>
      <c r="AF34" s="217"/>
      <c r="AG34" s="217"/>
      <c r="AH34" s="288"/>
    </row>
    <row r="35" spans="2:34" ht="18.75" thickTop="1" thickBot="1" x14ac:dyDescent="0.3">
      <c r="B35" s="235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1142" t="s">
        <v>15</v>
      </c>
      <c r="Z35" s="1143"/>
      <c r="AA35" s="1143"/>
      <c r="AB35" s="1143"/>
      <c r="AC35" s="1143"/>
      <c r="AD35" s="879">
        <f>SUM(AE4:AE33)</f>
        <v>671940.2892947956</v>
      </c>
      <c r="AE35" s="879">
        <f>SUM(AE4:AE33)</f>
        <v>671940.2892947956</v>
      </c>
      <c r="AF35" s="879">
        <f>SUM(AG4:AG33)</f>
        <v>671941.53788539581</v>
      </c>
      <c r="AG35" s="879">
        <f>SUM(AG4:AG33)</f>
        <v>671941.53788539581</v>
      </c>
      <c r="AH35" s="879" t="s">
        <v>81</v>
      </c>
    </row>
    <row r="36" spans="2:34" ht="19.5" customHeight="1" thickTop="1" thickBot="1" x14ac:dyDescent="0.3">
      <c r="B36" s="277"/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1144" t="s">
        <v>26</v>
      </c>
      <c r="Z36" s="1145"/>
      <c r="AA36" s="1145"/>
      <c r="AB36" s="1145"/>
      <c r="AC36" s="1145"/>
      <c r="AD36" s="880">
        <f xml:space="preserve"> (AD35-AF35)/AD35</f>
        <v>-1.858186836097557E-6</v>
      </c>
      <c r="AE36" s="279"/>
      <c r="AF36" s="279"/>
      <c r="AG36" s="279"/>
      <c r="AH36" s="289"/>
    </row>
    <row r="37" spans="2:34" ht="15.75" thickTop="1" x14ac:dyDescent="0.25"/>
    <row r="38" spans="2:34" ht="15.75" thickBot="1" x14ac:dyDescent="0.3"/>
    <row r="39" spans="2:34" ht="17.25" thickTop="1" thickBot="1" x14ac:dyDescent="0.3">
      <c r="B39" s="1043" t="s">
        <v>108</v>
      </c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4"/>
      <c r="O39" s="1044"/>
      <c r="P39" s="1044"/>
      <c r="Q39" s="1044"/>
      <c r="R39" s="1044"/>
      <c r="S39" s="1044"/>
      <c r="T39" s="1044"/>
      <c r="U39" s="1044"/>
      <c r="V39" s="1044"/>
      <c r="W39" s="1044"/>
      <c r="X39" s="1044"/>
      <c r="Y39" s="1044"/>
      <c r="Z39" s="1044"/>
      <c r="AA39" s="1044"/>
      <c r="AB39" s="1044"/>
      <c r="AC39" s="1044"/>
      <c r="AD39" s="1045"/>
    </row>
    <row r="40" spans="2:34" ht="15.75" thickBot="1" x14ac:dyDescent="0.3">
      <c r="B40" s="1046" t="s">
        <v>50</v>
      </c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8"/>
    </row>
    <row r="41" spans="2:34" x14ac:dyDescent="0.25">
      <c r="B41" s="1080"/>
      <c r="C41" s="1081"/>
      <c r="D41" s="1081"/>
      <c r="E41" s="108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1086" t="s">
        <v>52</v>
      </c>
      <c r="Z41" s="1087"/>
      <c r="AA41" s="1087"/>
      <c r="AB41" s="1087"/>
      <c r="AC41" s="1087"/>
      <c r="AD41" s="1088"/>
    </row>
    <row r="42" spans="2:34" x14ac:dyDescent="0.25">
      <c r="B42" s="1082"/>
      <c r="C42" s="1083"/>
      <c r="D42" s="1083"/>
      <c r="E42" s="1083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1089" t="s">
        <v>53</v>
      </c>
      <c r="Z42" s="1090"/>
      <c r="AA42" s="1090"/>
      <c r="AB42" s="1090"/>
      <c r="AC42" s="1090"/>
      <c r="AD42" s="1091"/>
    </row>
    <row r="43" spans="2:34" x14ac:dyDescent="0.25">
      <c r="B43" s="1082"/>
      <c r="C43" s="1083"/>
      <c r="D43" s="1083"/>
      <c r="E43" s="1083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2" t="s">
        <v>55</v>
      </c>
      <c r="Z43" s="303"/>
      <c r="AA43" s="303"/>
      <c r="AB43" s="303"/>
      <c r="AC43" s="303"/>
      <c r="AD43" s="304"/>
    </row>
    <row r="44" spans="2:34" ht="15.75" thickBot="1" x14ac:dyDescent="0.3">
      <c r="B44" s="1084"/>
      <c r="C44" s="1085"/>
      <c r="D44" s="1085"/>
      <c r="E44" s="1085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1092" t="s">
        <v>56</v>
      </c>
      <c r="Z44" s="1093"/>
      <c r="AA44" s="1093"/>
      <c r="AB44" s="1093"/>
      <c r="AC44" s="1093"/>
      <c r="AD44" s="1094"/>
    </row>
    <row r="45" spans="2:34" ht="15.75" thickBot="1" x14ac:dyDescent="0.3">
      <c r="B45" s="1095" t="s">
        <v>51</v>
      </c>
      <c r="C45" s="1096"/>
      <c r="D45" s="1096"/>
      <c r="E45" s="1096"/>
      <c r="F45" s="1096"/>
      <c r="G45" s="1096"/>
      <c r="H45" s="1096"/>
      <c r="I45" s="1096"/>
      <c r="J45" s="1096"/>
      <c r="K45" s="1096"/>
      <c r="L45" s="1096"/>
      <c r="M45" s="1096"/>
      <c r="N45" s="1096"/>
      <c r="O45" s="1096"/>
      <c r="P45" s="1096"/>
      <c r="Q45" s="1096"/>
      <c r="R45" s="1096"/>
      <c r="S45" s="1096"/>
      <c r="T45" s="1096"/>
      <c r="U45" s="1096"/>
      <c r="V45" s="1096"/>
      <c r="W45" s="1096"/>
      <c r="X45" s="1096"/>
      <c r="Y45" s="1096"/>
      <c r="Z45" s="1096"/>
      <c r="AA45" s="1096"/>
      <c r="AB45" s="1096"/>
      <c r="AC45" s="1096"/>
      <c r="AD45" s="1097"/>
    </row>
    <row r="46" spans="2:34" ht="15.75" thickTop="1" x14ac:dyDescent="0.25"/>
    <row r="47" spans="2:34" x14ac:dyDescent="0.25">
      <c r="B47" s="305" t="s">
        <v>110</v>
      </c>
      <c r="C47" s="1073" t="s">
        <v>112</v>
      </c>
      <c r="D47" s="1108"/>
    </row>
    <row r="48" spans="2:34" x14ac:dyDescent="0.25">
      <c r="B48" s="306" t="s">
        <v>111</v>
      </c>
      <c r="C48" s="1076">
        <v>41031</v>
      </c>
      <c r="D48" s="1109"/>
    </row>
  </sheetData>
  <mergeCells count="44">
    <mergeCell ref="B1:AH1"/>
    <mergeCell ref="C47:D47"/>
    <mergeCell ref="C48:D48"/>
    <mergeCell ref="B39:AD39"/>
    <mergeCell ref="B45:AD45"/>
    <mergeCell ref="B40:AD40"/>
    <mergeCell ref="Y41:AD41"/>
    <mergeCell ref="Y42:AD42"/>
    <mergeCell ref="Y44:AD44"/>
    <mergeCell ref="B41:E44"/>
    <mergeCell ref="D32:E32"/>
    <mergeCell ref="D33:E33"/>
    <mergeCell ref="Y35:AC35"/>
    <mergeCell ref="Y36:AC36"/>
    <mergeCell ref="D26:E26"/>
    <mergeCell ref="D27:E27"/>
    <mergeCell ref="D28:E28"/>
    <mergeCell ref="D29:E29"/>
    <mergeCell ref="D30:E30"/>
    <mergeCell ref="D31:E31"/>
    <mergeCell ref="D20:E20"/>
    <mergeCell ref="D21:E21"/>
    <mergeCell ref="D22:E22"/>
    <mergeCell ref="D23:E23"/>
    <mergeCell ref="D24:E24"/>
    <mergeCell ref="D25:E25"/>
    <mergeCell ref="D15:E15"/>
    <mergeCell ref="D16:E16"/>
    <mergeCell ref="D17:E17"/>
    <mergeCell ref="B18:B19"/>
    <mergeCell ref="D18:E18"/>
    <mergeCell ref="D19:E19"/>
    <mergeCell ref="D14:E14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conditionalFormatting sqref="AD36">
    <cfRule type="cellIs" dxfId="0" priority="1" operator="greaterThan">
      <formula>"0.000001%"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Paměť obsahu plochy obrazců</vt:lpstr>
      <vt:lpstr>Paměť objemu těles</vt:lpstr>
      <vt:lpstr>Paměť hmotnosti těles</vt:lpstr>
      <vt:lpstr>Paměť povrchu těles</vt:lpstr>
    </vt:vector>
  </TitlesOfParts>
  <Company>Doma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Hošek</dc:creator>
  <cp:lastModifiedBy>Josef Spilka</cp:lastModifiedBy>
  <dcterms:created xsi:type="dcterms:W3CDTF">2012-02-13T15:18:26Z</dcterms:created>
  <dcterms:modified xsi:type="dcterms:W3CDTF">2012-05-25T12:09:17Z</dcterms:modified>
</cp:coreProperties>
</file>