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20730" windowHeight="11760" tabRatio="852"/>
  </bookViews>
  <sheets>
    <sheet name="Energie elektrická" sheetId="1" r:id="rId1"/>
    <sheet name="Energie kinetická" sheetId="2" r:id="rId2"/>
    <sheet name="Energie potenciální - polohová" sheetId="3" r:id="rId3"/>
    <sheet name="Energie potenciální - pružnost" sheetId="4" r:id="rId4"/>
    <sheet name="Energie potenciální - tlaková" sheetId="5" r:id="rId5"/>
    <sheet name="Hustota" sheetId="6" r:id="rId6"/>
    <sheet name="Moment síly" sheetId="7" r:id="rId7"/>
    <sheet name="Ohmův zákon" sheetId="8" r:id="rId8"/>
    <sheet name="Průtok (z objemu a času)" sheetId="9" r:id="rId9"/>
    <sheet name="Průtok (z plochy a rychlosti)" sheetId="10" r:id="rId10"/>
    <sheet name="Rychlost (přímočarý pohyb)" sheetId="11" r:id="rId11"/>
    <sheet name="Rychlost obvodová" sheetId="12" r:id="rId12"/>
    <sheet name="Síla" sheetId="13" r:id="rId13"/>
    <sheet name="Síla gravitační" sheetId="14" r:id="rId14"/>
    <sheet name="Tlak" sheetId="15" r:id="rId15"/>
    <sheet name="Výkon elektrický (stejnosměrný)" sheetId="16" r:id="rId16"/>
    <sheet name="Výkon mech. (přímočarý pohyb)" sheetId="17" r:id="rId17"/>
    <sheet name="Výkon mechanický (rotace)" sheetId="18" r:id="rId18"/>
  </sheets>
  <calcPr calcId="145621"/>
</workbook>
</file>

<file path=xl/calcChain.xml><?xml version="1.0" encoding="utf-8"?>
<calcChain xmlns="http://schemas.openxmlformats.org/spreadsheetml/2006/main">
  <c r="H17" i="13" l="1"/>
  <c r="H104" i="10"/>
  <c r="H102" i="10"/>
  <c r="H101" i="10"/>
  <c r="H105" i="10"/>
  <c r="H106" i="10"/>
  <c r="H107" i="10"/>
  <c r="H100" i="10"/>
  <c r="H99" i="10"/>
  <c r="H98" i="10"/>
  <c r="H97" i="10"/>
  <c r="H96" i="10"/>
  <c r="H95" i="10"/>
  <c r="H94" i="10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E54" i="4"/>
  <c r="E53" i="4"/>
  <c r="E34" i="11"/>
  <c r="H25" i="11"/>
  <c r="H84" i="11"/>
  <c r="L84" i="11" s="1"/>
  <c r="AB84" i="11" s="1"/>
  <c r="H83" i="11"/>
  <c r="H82" i="11"/>
  <c r="E84" i="11"/>
  <c r="E83" i="11"/>
  <c r="E82" i="11"/>
  <c r="E67" i="11"/>
  <c r="L83" i="11"/>
  <c r="E80" i="11"/>
  <c r="H71" i="9"/>
  <c r="H70" i="9"/>
  <c r="H69" i="9"/>
  <c r="H57" i="9"/>
  <c r="H56" i="9"/>
  <c r="H55" i="9"/>
  <c r="H54" i="9"/>
  <c r="E26" i="9"/>
  <c r="E20" i="9"/>
  <c r="E14" i="9"/>
  <c r="E21" i="9"/>
  <c r="E25" i="9"/>
  <c r="E19" i="9"/>
  <c r="E13" i="9"/>
  <c r="L67" i="16" l="1"/>
  <c r="V67" i="16" s="1"/>
  <c r="L68" i="16"/>
  <c r="V68" i="16" s="1"/>
  <c r="L75" i="16"/>
  <c r="V75" i="16" s="1"/>
  <c r="K54" i="9"/>
  <c r="I54" i="9" s="1"/>
  <c r="O54" i="9" s="1"/>
  <c r="L76" i="16"/>
  <c r="V76" i="16" s="1"/>
  <c r="I53" i="16"/>
  <c r="I38" i="16"/>
  <c r="L82" i="11"/>
  <c r="P82" i="11" s="1"/>
  <c r="AF82" i="11" s="1"/>
  <c r="K83" i="11"/>
  <c r="AA83" i="11" s="1"/>
  <c r="J83" i="11"/>
  <c r="Z83" i="11" s="1"/>
  <c r="I84" i="11"/>
  <c r="Y84" i="11" s="1"/>
  <c r="N83" i="11"/>
  <c r="AD83" i="11" s="1"/>
  <c r="M83" i="11"/>
  <c r="AC83" i="11" s="1"/>
  <c r="O83" i="11"/>
  <c r="AE83" i="11" s="1"/>
  <c r="J84" i="11"/>
  <c r="Z84" i="11" s="1"/>
  <c r="K84" i="11"/>
  <c r="AA84" i="11" s="1"/>
  <c r="M84" i="11"/>
  <c r="AC84" i="11" s="1"/>
  <c r="N84" i="11"/>
  <c r="AD84" i="11" s="1"/>
  <c r="O84" i="11"/>
  <c r="AE84" i="11" s="1"/>
  <c r="P83" i="11"/>
  <c r="AF83" i="11" s="1"/>
  <c r="I82" i="11"/>
  <c r="Y82" i="11" s="1"/>
  <c r="P84" i="11"/>
  <c r="AF84" i="11" s="1"/>
  <c r="AB83" i="11"/>
  <c r="N82" i="11"/>
  <c r="AD82" i="11" s="1"/>
  <c r="J82" i="11"/>
  <c r="Z82" i="11" s="1"/>
  <c r="K82" i="11"/>
  <c r="AA82" i="11" s="1"/>
  <c r="M82" i="11"/>
  <c r="AC82" i="11" s="1"/>
  <c r="O82" i="11"/>
  <c r="AE82" i="11" s="1"/>
  <c r="AB82" i="11"/>
  <c r="I83" i="11"/>
  <c r="Y83" i="11" s="1"/>
  <c r="H57" i="8"/>
  <c r="H58" i="8"/>
  <c r="H59" i="8"/>
  <c r="H60" i="8"/>
  <c r="H42" i="8"/>
  <c r="H43" i="8"/>
  <c r="H44" i="8"/>
  <c r="H45" i="8"/>
  <c r="H47" i="8"/>
  <c r="H48" i="8"/>
  <c r="H49" i="8"/>
  <c r="H50" i="8"/>
  <c r="H56" i="8"/>
  <c r="H46" i="8"/>
  <c r="H41" i="8"/>
  <c r="H37" i="8"/>
  <c r="H38" i="8"/>
  <c r="H39" i="8"/>
  <c r="H40" i="8"/>
  <c r="H36" i="8"/>
  <c r="H22" i="14"/>
  <c r="J22" i="14" s="1"/>
  <c r="T22" i="14" s="1"/>
  <c r="H23" i="14"/>
  <c r="J23" i="14" s="1"/>
  <c r="E23" i="14"/>
  <c r="E22" i="14"/>
  <c r="H11" i="14"/>
  <c r="H12" i="14"/>
  <c r="H15" i="14"/>
  <c r="H14" i="14"/>
  <c r="H13" i="14"/>
  <c r="L56" i="16"/>
  <c r="H60" i="16"/>
  <c r="H59" i="16"/>
  <c r="H58" i="16"/>
  <c r="H57" i="16"/>
  <c r="H56" i="16"/>
  <c r="I56" i="16" s="1"/>
  <c r="K56" i="16" s="1"/>
  <c r="H85" i="16"/>
  <c r="L85" i="16" s="1"/>
  <c r="V85" i="16" s="1"/>
  <c r="H84" i="16"/>
  <c r="L84" i="16" s="1"/>
  <c r="V84" i="16" s="1"/>
  <c r="H83" i="16"/>
  <c r="L83" i="16" s="1"/>
  <c r="V83" i="16" s="1"/>
  <c r="H82" i="16"/>
  <c r="J38" i="13"/>
  <c r="Q104" i="10"/>
  <c r="N94" i="10"/>
  <c r="Q94" i="10" s="1"/>
  <c r="N95" i="10"/>
  <c r="M95" i="10" s="1"/>
  <c r="N96" i="10"/>
  <c r="Q96" i="10" s="1"/>
  <c r="N97" i="10"/>
  <c r="M97" i="10" s="1"/>
  <c r="N102" i="10"/>
  <c r="P102" i="10" s="1"/>
  <c r="N104" i="10"/>
  <c r="P104" i="10" s="1"/>
  <c r="N105" i="10"/>
  <c r="M105" i="10" s="1"/>
  <c r="L102" i="10"/>
  <c r="K94" i="10"/>
  <c r="K96" i="10"/>
  <c r="E25" i="7"/>
  <c r="E23" i="7"/>
  <c r="E21" i="7"/>
  <c r="E19" i="7"/>
  <c r="E17" i="7"/>
  <c r="E15" i="7"/>
  <c r="E13" i="7"/>
  <c r="E11" i="7"/>
  <c r="H68" i="9"/>
  <c r="H67" i="9"/>
  <c r="H66" i="9"/>
  <c r="H65" i="9"/>
  <c r="H64" i="9"/>
  <c r="H63" i="9"/>
  <c r="H74" i="9"/>
  <c r="H73" i="9"/>
  <c r="H72" i="9"/>
  <c r="H37" i="6"/>
  <c r="H38" i="6"/>
  <c r="H39" i="6"/>
  <c r="H40" i="6"/>
  <c r="H36" i="6"/>
  <c r="H12" i="3"/>
  <c r="J42" i="18"/>
  <c r="I42" i="18" s="1"/>
  <c r="M42" i="18" s="1"/>
  <c r="H44" i="18"/>
  <c r="H43" i="18"/>
  <c r="J43" i="18" s="1"/>
  <c r="E44" i="18"/>
  <c r="E43" i="18"/>
  <c r="H42" i="18"/>
  <c r="H41" i="18"/>
  <c r="H40" i="18"/>
  <c r="H39" i="18"/>
  <c r="H38" i="18"/>
  <c r="H37" i="18"/>
  <c r="H36" i="18"/>
  <c r="H35" i="18"/>
  <c r="E42" i="18"/>
  <c r="E41" i="18"/>
  <c r="E40" i="18"/>
  <c r="J40" i="18" s="1"/>
  <c r="E39" i="18"/>
  <c r="E38" i="18"/>
  <c r="J38" i="18" s="1"/>
  <c r="E37" i="18"/>
  <c r="E36" i="18"/>
  <c r="E35" i="18"/>
  <c r="H29" i="18"/>
  <c r="H28" i="18"/>
  <c r="H27" i="18"/>
  <c r="H26" i="18"/>
  <c r="H25" i="18"/>
  <c r="H24" i="18"/>
  <c r="H23" i="18"/>
  <c r="H22" i="18"/>
  <c r="H21" i="18"/>
  <c r="H20" i="18"/>
  <c r="E29" i="18"/>
  <c r="E28" i="18"/>
  <c r="E27" i="18"/>
  <c r="E26" i="18"/>
  <c r="E25" i="18"/>
  <c r="E24" i="18"/>
  <c r="E23" i="18"/>
  <c r="E22" i="18"/>
  <c r="E21" i="18"/>
  <c r="E20" i="18"/>
  <c r="J47" i="17"/>
  <c r="I47" i="17" s="1"/>
  <c r="M47" i="17" s="1"/>
  <c r="H57" i="17"/>
  <c r="J57" i="17" s="1"/>
  <c r="H58" i="17"/>
  <c r="J58" i="17" s="1"/>
  <c r="H53" i="17"/>
  <c r="J53" i="17" s="1"/>
  <c r="H54" i="17"/>
  <c r="J54" i="17" s="1"/>
  <c r="H49" i="17"/>
  <c r="H50" i="17"/>
  <c r="J50" i="17" s="1"/>
  <c r="H45" i="17"/>
  <c r="H46" i="17"/>
  <c r="H41" i="17"/>
  <c r="J41" i="17" s="1"/>
  <c r="H42" i="17"/>
  <c r="J42" i="17" s="1"/>
  <c r="H56" i="17"/>
  <c r="J56" i="17" s="1"/>
  <c r="H55" i="17"/>
  <c r="J55" i="17" s="1"/>
  <c r="N55" i="17" s="1"/>
  <c r="H52" i="17"/>
  <c r="H51" i="17"/>
  <c r="H48" i="17"/>
  <c r="H47" i="17"/>
  <c r="H44" i="17"/>
  <c r="H43" i="17"/>
  <c r="H40" i="17"/>
  <c r="J40" i="17" s="1"/>
  <c r="H39" i="17"/>
  <c r="J39" i="17" s="1"/>
  <c r="E58" i="17"/>
  <c r="E57" i="17"/>
  <c r="E56" i="17"/>
  <c r="E55" i="17"/>
  <c r="E54" i="17"/>
  <c r="E53" i="17"/>
  <c r="E52" i="17"/>
  <c r="E51" i="17"/>
  <c r="J51" i="17" s="1"/>
  <c r="N51" i="17" s="1"/>
  <c r="E50" i="17"/>
  <c r="E49" i="17"/>
  <c r="E48" i="17"/>
  <c r="E47" i="17"/>
  <c r="E46" i="17"/>
  <c r="E45" i="17"/>
  <c r="E44" i="17"/>
  <c r="E43" i="17"/>
  <c r="J43" i="17" s="1"/>
  <c r="E42" i="17"/>
  <c r="E41" i="17"/>
  <c r="E40" i="17"/>
  <c r="E39" i="17"/>
  <c r="H27" i="17"/>
  <c r="H26" i="17"/>
  <c r="K26" i="17" s="1"/>
  <c r="E37" i="15"/>
  <c r="E121" i="5"/>
  <c r="E132" i="5"/>
  <c r="E126" i="5"/>
  <c r="E120" i="5"/>
  <c r="E114" i="5"/>
  <c r="E131" i="5"/>
  <c r="E125" i="5"/>
  <c r="E119" i="5"/>
  <c r="E113" i="5"/>
  <c r="H68" i="8"/>
  <c r="H69" i="8"/>
  <c r="H72" i="8"/>
  <c r="H73" i="8"/>
  <c r="H76" i="8"/>
  <c r="H77" i="8"/>
  <c r="H80" i="8"/>
  <c r="H81" i="8"/>
  <c r="H84" i="8"/>
  <c r="H85" i="8"/>
  <c r="H83" i="8"/>
  <c r="H75" i="8"/>
  <c r="H71" i="8"/>
  <c r="H82" i="8"/>
  <c r="H74" i="8"/>
  <c r="H70" i="8"/>
  <c r="H67" i="8"/>
  <c r="H66" i="8"/>
  <c r="H91" i="6"/>
  <c r="H92" i="6"/>
  <c r="H93" i="6"/>
  <c r="H94" i="6"/>
  <c r="H90" i="6"/>
  <c r="H89" i="6"/>
  <c r="H73" i="6"/>
  <c r="H74" i="6"/>
  <c r="H75" i="6"/>
  <c r="H76" i="6"/>
  <c r="H72" i="6"/>
  <c r="H71" i="6"/>
  <c r="E65" i="6"/>
  <c r="E61" i="6"/>
  <c r="E57" i="6"/>
  <c r="E53" i="6"/>
  <c r="E49" i="6"/>
  <c r="E48" i="6"/>
  <c r="E62" i="6"/>
  <c r="E58" i="6"/>
  <c r="E50" i="6"/>
  <c r="E54" i="6"/>
  <c r="E47" i="6"/>
  <c r="E46" i="6"/>
  <c r="H58" i="5"/>
  <c r="H59" i="5"/>
  <c r="H60" i="5"/>
  <c r="H61" i="5"/>
  <c r="H62" i="5"/>
  <c r="H63" i="5"/>
  <c r="H64" i="5"/>
  <c r="H57" i="5"/>
  <c r="H56" i="5"/>
  <c r="E73" i="5"/>
  <c r="E91" i="5"/>
  <c r="E59" i="5"/>
  <c r="E50" i="5"/>
  <c r="E32" i="5"/>
  <c r="E14" i="5"/>
  <c r="H102" i="3"/>
  <c r="H100" i="3"/>
  <c r="H29" i="17"/>
  <c r="H28" i="17"/>
  <c r="K28" i="17" s="1"/>
  <c r="H31" i="17"/>
  <c r="H30" i="17"/>
  <c r="H33" i="17"/>
  <c r="K33" i="17" s="1"/>
  <c r="H32" i="17"/>
  <c r="H25" i="17"/>
  <c r="K25" i="17" s="1"/>
  <c r="H24" i="17"/>
  <c r="E33" i="17"/>
  <c r="E32" i="17"/>
  <c r="E31" i="17"/>
  <c r="E30" i="17"/>
  <c r="E29" i="17"/>
  <c r="E28" i="17"/>
  <c r="E27" i="17"/>
  <c r="E26" i="17"/>
  <c r="E25" i="17"/>
  <c r="E24" i="17"/>
  <c r="M15" i="17"/>
  <c r="W15" i="17" s="1"/>
  <c r="M17" i="17"/>
  <c r="K17" i="17" s="1"/>
  <c r="U17" i="17" s="1"/>
  <c r="I17" i="17"/>
  <c r="S17" i="17" s="1"/>
  <c r="H18" i="17"/>
  <c r="H17" i="17"/>
  <c r="H16" i="17"/>
  <c r="H15" i="17"/>
  <c r="H14" i="17"/>
  <c r="H13" i="17"/>
  <c r="H12" i="17"/>
  <c r="H11" i="17"/>
  <c r="E18" i="17"/>
  <c r="M18" i="17" s="1"/>
  <c r="E17" i="17"/>
  <c r="E16" i="17"/>
  <c r="M16" i="17" s="1"/>
  <c r="E15" i="17"/>
  <c r="E14" i="17"/>
  <c r="M14" i="17" s="1"/>
  <c r="E13" i="17"/>
  <c r="M13" i="17" s="1"/>
  <c r="E12" i="17"/>
  <c r="M12" i="17" s="1"/>
  <c r="E11" i="17"/>
  <c r="M11" i="17" s="1"/>
  <c r="K11" i="17" s="1"/>
  <c r="U11" i="17" s="1"/>
  <c r="E85" i="16"/>
  <c r="E84" i="16"/>
  <c r="E83" i="16"/>
  <c r="E82" i="16"/>
  <c r="E81" i="16"/>
  <c r="L81" i="16" s="1"/>
  <c r="V81" i="16" s="1"/>
  <c r="E80" i="16"/>
  <c r="L80" i="16" s="1"/>
  <c r="V80" i="16" s="1"/>
  <c r="E79" i="16"/>
  <c r="L79" i="16" s="1"/>
  <c r="V79" i="16" s="1"/>
  <c r="E78" i="16"/>
  <c r="L78" i="16" s="1"/>
  <c r="V78" i="16" s="1"/>
  <c r="E77" i="16"/>
  <c r="L77" i="16" s="1"/>
  <c r="V77" i="16" s="1"/>
  <c r="E76" i="16"/>
  <c r="E75" i="16"/>
  <c r="E74" i="16"/>
  <c r="L74" i="16" s="1"/>
  <c r="V74" i="16" s="1"/>
  <c r="E73" i="16"/>
  <c r="L73" i="16" s="1"/>
  <c r="V73" i="16" s="1"/>
  <c r="E72" i="16"/>
  <c r="L72" i="16" s="1"/>
  <c r="V72" i="16" s="1"/>
  <c r="E71" i="16"/>
  <c r="L71" i="16" s="1"/>
  <c r="V71" i="16" s="1"/>
  <c r="E70" i="16"/>
  <c r="L70" i="16" s="1"/>
  <c r="V70" i="16" s="1"/>
  <c r="E69" i="16"/>
  <c r="L69" i="16" s="1"/>
  <c r="V69" i="16" s="1"/>
  <c r="E68" i="16"/>
  <c r="E67" i="16"/>
  <c r="E66" i="16"/>
  <c r="L66" i="16" s="1"/>
  <c r="V66" i="16" s="1"/>
  <c r="E60" i="16"/>
  <c r="E59" i="16"/>
  <c r="E58" i="16"/>
  <c r="E57" i="16"/>
  <c r="E56" i="16"/>
  <c r="L36" i="16"/>
  <c r="T36" i="16" s="1"/>
  <c r="E55" i="16"/>
  <c r="I55" i="16" s="1"/>
  <c r="E54" i="16"/>
  <c r="I54" i="16" s="1"/>
  <c r="E53" i="16"/>
  <c r="E52" i="16"/>
  <c r="I52" i="16" s="1"/>
  <c r="E51" i="16"/>
  <c r="I51" i="16" s="1"/>
  <c r="Q51" i="16" s="1"/>
  <c r="E50" i="16"/>
  <c r="I50" i="16" s="1"/>
  <c r="E49" i="16"/>
  <c r="I49" i="16" s="1"/>
  <c r="E48" i="16"/>
  <c r="I48" i="16" s="1"/>
  <c r="E47" i="16"/>
  <c r="I47" i="16" s="1"/>
  <c r="Q47" i="16" s="1"/>
  <c r="E46" i="16"/>
  <c r="I46" i="16" s="1"/>
  <c r="E45" i="16"/>
  <c r="I45" i="16" s="1"/>
  <c r="E44" i="16"/>
  <c r="E43" i="16"/>
  <c r="I43" i="16" s="1"/>
  <c r="E42" i="16"/>
  <c r="I42" i="16" s="1"/>
  <c r="E41" i="16"/>
  <c r="I41" i="16" s="1"/>
  <c r="E40" i="16"/>
  <c r="E39" i="16"/>
  <c r="I39" i="16" s="1"/>
  <c r="Q39" i="16" s="1"/>
  <c r="E38" i="16"/>
  <c r="E37" i="16"/>
  <c r="I37" i="16" s="1"/>
  <c r="E36" i="16"/>
  <c r="I36" i="16" s="1"/>
  <c r="J36" i="16" s="1"/>
  <c r="E30" i="16"/>
  <c r="E25" i="16"/>
  <c r="E20" i="16"/>
  <c r="E15" i="16"/>
  <c r="E23" i="16"/>
  <c r="E28" i="16"/>
  <c r="E18" i="16"/>
  <c r="E13" i="16"/>
  <c r="E27" i="16"/>
  <c r="E22" i="16"/>
  <c r="E17" i="16"/>
  <c r="E12" i="16"/>
  <c r="E26" i="16"/>
  <c r="E21" i="16"/>
  <c r="E16" i="16"/>
  <c r="E14" i="16"/>
  <c r="E11" i="16"/>
  <c r="H22" i="16"/>
  <c r="H23" i="16"/>
  <c r="H24" i="16"/>
  <c r="H25" i="16"/>
  <c r="H17" i="16"/>
  <c r="H18" i="16"/>
  <c r="H19" i="16"/>
  <c r="H20" i="16"/>
  <c r="H12" i="16"/>
  <c r="H13" i="16"/>
  <c r="H14" i="16"/>
  <c r="H15" i="16"/>
  <c r="H27" i="16"/>
  <c r="H28" i="16"/>
  <c r="H29" i="16"/>
  <c r="H30" i="16"/>
  <c r="H26" i="16"/>
  <c r="H21" i="16"/>
  <c r="H16" i="16"/>
  <c r="H11" i="16"/>
  <c r="M11" i="16" s="1"/>
  <c r="E29" i="16"/>
  <c r="M29" i="16" s="1"/>
  <c r="W29" i="16" s="1"/>
  <c r="E24" i="16"/>
  <c r="E19" i="16"/>
  <c r="M19" i="16" s="1"/>
  <c r="W19" i="16" s="1"/>
  <c r="H130" i="15"/>
  <c r="H131" i="15"/>
  <c r="H132" i="15"/>
  <c r="H133" i="15"/>
  <c r="H134" i="15"/>
  <c r="H135" i="15"/>
  <c r="H136" i="15"/>
  <c r="H137" i="15"/>
  <c r="H129" i="15"/>
  <c r="E137" i="15"/>
  <c r="E136" i="15"/>
  <c r="E135" i="15"/>
  <c r="J135" i="15" s="1"/>
  <c r="E134" i="15"/>
  <c r="E133" i="15"/>
  <c r="E132" i="15"/>
  <c r="E131" i="15"/>
  <c r="E130" i="15"/>
  <c r="E129" i="15"/>
  <c r="H121" i="15"/>
  <c r="J121" i="15" s="1"/>
  <c r="H122" i="15"/>
  <c r="H123" i="15"/>
  <c r="H124" i="15"/>
  <c r="H125" i="15"/>
  <c r="H126" i="15"/>
  <c r="H127" i="15"/>
  <c r="H128" i="15"/>
  <c r="H120" i="15"/>
  <c r="H112" i="15"/>
  <c r="H113" i="15"/>
  <c r="H114" i="15"/>
  <c r="H115" i="15"/>
  <c r="H116" i="15"/>
  <c r="H117" i="15"/>
  <c r="H118" i="15"/>
  <c r="J118" i="15" s="1"/>
  <c r="H119" i="15"/>
  <c r="H111" i="15"/>
  <c r="H103" i="15"/>
  <c r="H104" i="15"/>
  <c r="H105" i="15"/>
  <c r="J105" i="15" s="1"/>
  <c r="H106" i="15"/>
  <c r="H107" i="15"/>
  <c r="H108" i="15"/>
  <c r="H109" i="15"/>
  <c r="H110" i="15"/>
  <c r="H102" i="15"/>
  <c r="J102" i="15" s="1"/>
  <c r="H94" i="15"/>
  <c r="H95" i="15"/>
  <c r="H96" i="15"/>
  <c r="H97" i="15"/>
  <c r="H98" i="15"/>
  <c r="H99" i="15"/>
  <c r="H100" i="15"/>
  <c r="H101" i="15"/>
  <c r="J101" i="15" s="1"/>
  <c r="H93" i="15"/>
  <c r="E128" i="15"/>
  <c r="E127" i="15"/>
  <c r="E126" i="15"/>
  <c r="E125" i="15"/>
  <c r="E124" i="15"/>
  <c r="E123" i="15"/>
  <c r="E122" i="15"/>
  <c r="E121" i="15"/>
  <c r="E120" i="15"/>
  <c r="E119" i="15"/>
  <c r="E118" i="15"/>
  <c r="E117" i="15"/>
  <c r="E116" i="15"/>
  <c r="E115" i="15"/>
  <c r="E114" i="15"/>
  <c r="J114" i="15" s="1"/>
  <c r="E113" i="15"/>
  <c r="E112" i="15"/>
  <c r="E111" i="15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J98" i="15" s="1"/>
  <c r="E97" i="15"/>
  <c r="E96" i="15"/>
  <c r="E95" i="15"/>
  <c r="E94" i="15"/>
  <c r="E93" i="15"/>
  <c r="H85" i="15"/>
  <c r="J85" i="15" s="1"/>
  <c r="H86" i="15"/>
  <c r="H87" i="15"/>
  <c r="H88" i="15"/>
  <c r="H89" i="15"/>
  <c r="H90" i="15"/>
  <c r="H91" i="15"/>
  <c r="H92" i="15"/>
  <c r="H84" i="15"/>
  <c r="H76" i="15"/>
  <c r="H77" i="15"/>
  <c r="J77" i="15" s="1"/>
  <c r="H78" i="15"/>
  <c r="H79" i="15"/>
  <c r="H80" i="15"/>
  <c r="H81" i="15"/>
  <c r="H82" i="15"/>
  <c r="H83" i="15"/>
  <c r="J83" i="15" s="1"/>
  <c r="H75" i="15"/>
  <c r="H67" i="15"/>
  <c r="H68" i="15"/>
  <c r="H69" i="15"/>
  <c r="J69" i="15" s="1"/>
  <c r="H70" i="15"/>
  <c r="H71" i="15"/>
  <c r="H72" i="15"/>
  <c r="H73" i="15"/>
  <c r="H74" i="15"/>
  <c r="H66" i="15"/>
  <c r="J66" i="15" s="1"/>
  <c r="H65" i="15"/>
  <c r="H64" i="15"/>
  <c r="H63" i="15"/>
  <c r="H62" i="15"/>
  <c r="H61" i="15"/>
  <c r="H60" i="15"/>
  <c r="H59" i="15"/>
  <c r="H58" i="15"/>
  <c r="J58" i="15" s="1"/>
  <c r="H57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H44" i="15"/>
  <c r="H45" i="15"/>
  <c r="H46" i="15"/>
  <c r="H47" i="15"/>
  <c r="H48" i="15"/>
  <c r="N48" i="15" s="1"/>
  <c r="H49" i="15"/>
  <c r="H50" i="15"/>
  <c r="H51" i="15"/>
  <c r="H35" i="15"/>
  <c r="H36" i="15"/>
  <c r="H37" i="15"/>
  <c r="H38" i="15"/>
  <c r="H39" i="15"/>
  <c r="H40" i="15"/>
  <c r="H41" i="15"/>
  <c r="H42" i="15"/>
  <c r="H43" i="15"/>
  <c r="H34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6" i="15"/>
  <c r="E35" i="15"/>
  <c r="E34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O15" i="15" s="1"/>
  <c r="E14" i="15"/>
  <c r="E13" i="15"/>
  <c r="E12" i="15"/>
  <c r="E11" i="15"/>
  <c r="H31" i="13"/>
  <c r="H28" i="15"/>
  <c r="H26" i="15"/>
  <c r="H24" i="15"/>
  <c r="H22" i="15"/>
  <c r="H20" i="15"/>
  <c r="H18" i="15"/>
  <c r="H27" i="15"/>
  <c r="H25" i="15"/>
  <c r="H23" i="15"/>
  <c r="H21" i="15"/>
  <c r="H19" i="15"/>
  <c r="H17" i="15"/>
  <c r="H16" i="15"/>
  <c r="H15" i="15"/>
  <c r="H14" i="15"/>
  <c r="H13" i="15"/>
  <c r="H12" i="15"/>
  <c r="H11" i="15"/>
  <c r="E15" i="14"/>
  <c r="J15" i="14" s="1"/>
  <c r="E14" i="14"/>
  <c r="J14" i="14" s="1"/>
  <c r="E13" i="14"/>
  <c r="J13" i="14" s="1"/>
  <c r="E12" i="14"/>
  <c r="J12" i="14" s="1"/>
  <c r="E11" i="14"/>
  <c r="J11" i="14" s="1"/>
  <c r="E50" i="13"/>
  <c r="E49" i="13"/>
  <c r="E47" i="13"/>
  <c r="E46" i="13"/>
  <c r="E51" i="13"/>
  <c r="E48" i="13"/>
  <c r="H51" i="13"/>
  <c r="H50" i="13"/>
  <c r="J50" i="13" s="1"/>
  <c r="I50" i="13" s="1"/>
  <c r="S50" i="13" s="1"/>
  <c r="H49" i="13"/>
  <c r="H48" i="13"/>
  <c r="H47" i="13"/>
  <c r="J47" i="13" s="1"/>
  <c r="L47" i="13" s="1"/>
  <c r="H46" i="13"/>
  <c r="J46" i="13" s="1"/>
  <c r="T46" i="13" s="1"/>
  <c r="H16" i="13"/>
  <c r="H33" i="13"/>
  <c r="H34" i="13"/>
  <c r="H35" i="13"/>
  <c r="H32" i="13"/>
  <c r="H38" i="13"/>
  <c r="K38" i="13" s="1"/>
  <c r="H39" i="13"/>
  <c r="H40" i="13"/>
  <c r="H37" i="13"/>
  <c r="K37" i="13" s="1"/>
  <c r="I37" i="13" s="1"/>
  <c r="H36" i="13"/>
  <c r="E40" i="13"/>
  <c r="E39" i="13"/>
  <c r="E38" i="13"/>
  <c r="E37" i="13"/>
  <c r="E36" i="13"/>
  <c r="E35" i="13"/>
  <c r="E34" i="13"/>
  <c r="E33" i="13"/>
  <c r="E32" i="13"/>
  <c r="K32" i="13" s="1"/>
  <c r="I32" i="13" s="1"/>
  <c r="E31" i="13"/>
  <c r="H23" i="13"/>
  <c r="H24" i="13"/>
  <c r="H25" i="13"/>
  <c r="H22" i="13"/>
  <c r="H21" i="13"/>
  <c r="H18" i="13"/>
  <c r="H19" i="13"/>
  <c r="H20" i="13"/>
  <c r="H13" i="13"/>
  <c r="H14" i="13"/>
  <c r="H15" i="13"/>
  <c r="H12" i="13"/>
  <c r="H11" i="13"/>
  <c r="E25" i="13"/>
  <c r="J25" i="13" s="1"/>
  <c r="I25" i="13" s="1"/>
  <c r="M25" i="13" s="1"/>
  <c r="E24" i="13"/>
  <c r="E23" i="13"/>
  <c r="J23" i="13" s="1"/>
  <c r="I23" i="13" s="1"/>
  <c r="M23" i="13" s="1"/>
  <c r="E22" i="13"/>
  <c r="E21" i="13"/>
  <c r="E20" i="13"/>
  <c r="J20" i="13" s="1"/>
  <c r="E19" i="13"/>
  <c r="J19" i="13" s="1"/>
  <c r="I19" i="13" s="1"/>
  <c r="M19" i="13" s="1"/>
  <c r="E18" i="13"/>
  <c r="J18" i="13" s="1"/>
  <c r="E17" i="13"/>
  <c r="J17" i="13" s="1"/>
  <c r="E16" i="13"/>
  <c r="E15" i="13"/>
  <c r="E14" i="13"/>
  <c r="E13" i="13"/>
  <c r="E12" i="13"/>
  <c r="E11" i="13"/>
  <c r="E76" i="12"/>
  <c r="E75" i="12"/>
  <c r="E74" i="12"/>
  <c r="E73" i="12"/>
  <c r="H76" i="12"/>
  <c r="L76" i="12" s="1"/>
  <c r="J76" i="12" s="1"/>
  <c r="Z76" i="12" s="1"/>
  <c r="H75" i="12"/>
  <c r="L75" i="12" s="1"/>
  <c r="P75" i="12" s="1"/>
  <c r="AF75" i="12" s="1"/>
  <c r="H74" i="12"/>
  <c r="L74" i="12" s="1"/>
  <c r="H73" i="12"/>
  <c r="L73" i="12" s="1"/>
  <c r="N73" i="12" s="1"/>
  <c r="AD73" i="12" s="1"/>
  <c r="E72" i="12"/>
  <c r="E71" i="12"/>
  <c r="H72" i="12"/>
  <c r="L72" i="12" s="1"/>
  <c r="J72" i="12" s="1"/>
  <c r="Z72" i="12" s="1"/>
  <c r="H71" i="12"/>
  <c r="H70" i="12"/>
  <c r="H69" i="12"/>
  <c r="E70" i="12"/>
  <c r="E69" i="12"/>
  <c r="H57" i="12"/>
  <c r="H58" i="12"/>
  <c r="H59" i="12"/>
  <c r="H60" i="12"/>
  <c r="H61" i="12"/>
  <c r="H62" i="12"/>
  <c r="H63" i="12"/>
  <c r="H49" i="12"/>
  <c r="H50" i="12"/>
  <c r="H51" i="12"/>
  <c r="H52" i="12"/>
  <c r="H53" i="12"/>
  <c r="H54" i="12"/>
  <c r="H55" i="12"/>
  <c r="H41" i="12"/>
  <c r="H42" i="12"/>
  <c r="H43" i="12"/>
  <c r="H44" i="12"/>
  <c r="H45" i="12"/>
  <c r="H46" i="12"/>
  <c r="H47" i="12"/>
  <c r="H33" i="12"/>
  <c r="H34" i="12"/>
  <c r="H35" i="12"/>
  <c r="H36" i="12"/>
  <c r="H37" i="12"/>
  <c r="H38" i="12"/>
  <c r="H39" i="12"/>
  <c r="H40" i="12"/>
  <c r="H48" i="12"/>
  <c r="H56" i="12"/>
  <c r="H32" i="12"/>
  <c r="E63" i="12"/>
  <c r="E62" i="12"/>
  <c r="E61" i="12"/>
  <c r="E60" i="12"/>
  <c r="E59" i="12"/>
  <c r="I59" i="12" s="1"/>
  <c r="E58" i="12"/>
  <c r="E57" i="12"/>
  <c r="I57" i="12" s="1"/>
  <c r="E56" i="12"/>
  <c r="E55" i="12"/>
  <c r="E54" i="12"/>
  <c r="E53" i="12"/>
  <c r="E52" i="12"/>
  <c r="E51" i="12"/>
  <c r="E50" i="12"/>
  <c r="E49" i="12"/>
  <c r="E48" i="12"/>
  <c r="E47" i="12"/>
  <c r="E46" i="12"/>
  <c r="E45" i="12"/>
  <c r="I45" i="12" s="1"/>
  <c r="E44" i="12"/>
  <c r="E43" i="12"/>
  <c r="I43" i="12" s="1"/>
  <c r="E42" i="12"/>
  <c r="E41" i="12"/>
  <c r="I41" i="12" s="1"/>
  <c r="E40" i="12"/>
  <c r="E39" i="12"/>
  <c r="E38" i="12"/>
  <c r="E37" i="12"/>
  <c r="E36" i="12"/>
  <c r="E35" i="12"/>
  <c r="E34" i="12"/>
  <c r="E33" i="12"/>
  <c r="E32" i="12"/>
  <c r="H21" i="12"/>
  <c r="H22" i="12"/>
  <c r="H23" i="12"/>
  <c r="H24" i="12"/>
  <c r="H25" i="12"/>
  <c r="H26" i="12"/>
  <c r="H13" i="12"/>
  <c r="H14" i="12"/>
  <c r="H15" i="12"/>
  <c r="H16" i="12"/>
  <c r="H17" i="12"/>
  <c r="H18" i="12"/>
  <c r="H20" i="12"/>
  <c r="H19" i="12"/>
  <c r="H12" i="12"/>
  <c r="H11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K12" i="12" s="1"/>
  <c r="E11" i="12"/>
  <c r="K11" i="12" s="1"/>
  <c r="H81" i="11"/>
  <c r="H80" i="11"/>
  <c r="H79" i="11"/>
  <c r="H78" i="11"/>
  <c r="H77" i="11"/>
  <c r="H76" i="11"/>
  <c r="H75" i="11"/>
  <c r="H74" i="11"/>
  <c r="H73" i="11"/>
  <c r="E81" i="11"/>
  <c r="E79" i="11"/>
  <c r="E78" i="11"/>
  <c r="E77" i="11"/>
  <c r="E76" i="11"/>
  <c r="E75" i="11"/>
  <c r="E74" i="11"/>
  <c r="E73" i="11"/>
  <c r="L73" i="11" s="1"/>
  <c r="E12" i="18"/>
  <c r="E13" i="18"/>
  <c r="H14" i="18"/>
  <c r="H12" i="18"/>
  <c r="E14" i="18"/>
  <c r="M14" i="18" s="1"/>
  <c r="K14" i="18" s="1"/>
  <c r="H13" i="18"/>
  <c r="H11" i="18"/>
  <c r="E11" i="18"/>
  <c r="E66" i="11"/>
  <c r="E65" i="11"/>
  <c r="E64" i="11"/>
  <c r="E63" i="11"/>
  <c r="E62" i="11"/>
  <c r="E61" i="11"/>
  <c r="E60" i="11"/>
  <c r="E59" i="11"/>
  <c r="E58" i="11"/>
  <c r="E57" i="11"/>
  <c r="E56" i="11"/>
  <c r="H67" i="11"/>
  <c r="K67" i="11" s="1"/>
  <c r="J67" i="11" s="1"/>
  <c r="P67" i="11" s="1"/>
  <c r="H66" i="11"/>
  <c r="K66" i="11" s="1"/>
  <c r="Q66" i="11" s="1"/>
  <c r="H65" i="11"/>
  <c r="K65" i="11" s="1"/>
  <c r="J65" i="11" s="1"/>
  <c r="P65" i="11" s="1"/>
  <c r="H64" i="11"/>
  <c r="H63" i="11"/>
  <c r="H62" i="11"/>
  <c r="H61" i="11"/>
  <c r="H60" i="11"/>
  <c r="K60" i="11" s="1"/>
  <c r="H59" i="11"/>
  <c r="K59" i="11" s="1"/>
  <c r="H58" i="11"/>
  <c r="K58" i="11" s="1"/>
  <c r="H57" i="11"/>
  <c r="K57" i="11" s="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H33" i="11"/>
  <c r="H34" i="11"/>
  <c r="H32" i="11"/>
  <c r="H31" i="11"/>
  <c r="H30" i="11"/>
  <c r="H29" i="11"/>
  <c r="H28" i="11"/>
  <c r="H27" i="11"/>
  <c r="H26" i="11"/>
  <c r="H24" i="11"/>
  <c r="H23" i="11"/>
  <c r="H22" i="11"/>
  <c r="H21" i="11"/>
  <c r="H20" i="11"/>
  <c r="H19" i="11"/>
  <c r="H17" i="11"/>
  <c r="H18" i="11"/>
  <c r="H16" i="11"/>
  <c r="H15" i="11"/>
  <c r="H14" i="11"/>
  <c r="H13" i="11"/>
  <c r="H12" i="11"/>
  <c r="H11" i="11"/>
  <c r="E33" i="11"/>
  <c r="E32" i="11"/>
  <c r="E31" i="11"/>
  <c r="E30" i="11"/>
  <c r="K30" i="11" s="1"/>
  <c r="I30" i="11" s="1"/>
  <c r="Q30" i="11" s="1"/>
  <c r="E29" i="11"/>
  <c r="K29" i="11" s="1"/>
  <c r="E28" i="11"/>
  <c r="K28" i="11" s="1"/>
  <c r="L28" i="11" s="1"/>
  <c r="T28" i="11" s="1"/>
  <c r="E27" i="11"/>
  <c r="K27" i="11" s="1"/>
  <c r="E26" i="11"/>
  <c r="E25" i="11"/>
  <c r="K25" i="11" s="1"/>
  <c r="L25" i="11" s="1"/>
  <c r="T25" i="11" s="1"/>
  <c r="E24" i="11"/>
  <c r="K24" i="11" s="1"/>
  <c r="S24" i="11" s="1"/>
  <c r="E23" i="11"/>
  <c r="E22" i="11"/>
  <c r="K22" i="11" s="1"/>
  <c r="E21" i="11"/>
  <c r="E20" i="11"/>
  <c r="K20" i="11" s="1"/>
  <c r="J20" i="11" s="1"/>
  <c r="R20" i="11" s="1"/>
  <c r="E19" i="11"/>
  <c r="K19" i="11" s="1"/>
  <c r="E18" i="11"/>
  <c r="E17" i="11"/>
  <c r="E16" i="11"/>
  <c r="K16" i="11" s="1"/>
  <c r="I16" i="11" s="1"/>
  <c r="Q16" i="11" s="1"/>
  <c r="E15" i="11"/>
  <c r="E14" i="11"/>
  <c r="K14" i="11" s="1"/>
  <c r="I14" i="11" s="1"/>
  <c r="Q14" i="11" s="1"/>
  <c r="E13" i="11"/>
  <c r="E12" i="11"/>
  <c r="E11" i="11"/>
  <c r="K11" i="11" s="1"/>
  <c r="E87" i="10"/>
  <c r="E86" i="10"/>
  <c r="E85" i="10"/>
  <c r="E81" i="10"/>
  <c r="E80" i="10"/>
  <c r="E108" i="10"/>
  <c r="E107" i="10"/>
  <c r="N107" i="10" s="1"/>
  <c r="E106" i="10"/>
  <c r="N106" i="10" s="1"/>
  <c r="E105" i="10"/>
  <c r="E104" i="10"/>
  <c r="E103" i="10"/>
  <c r="E102" i="10"/>
  <c r="E101" i="10"/>
  <c r="N101" i="10" s="1"/>
  <c r="E100" i="10"/>
  <c r="N100" i="10" s="1"/>
  <c r="E99" i="10"/>
  <c r="N99" i="10" s="1"/>
  <c r="E98" i="10"/>
  <c r="N98" i="10" s="1"/>
  <c r="E97" i="10"/>
  <c r="E96" i="10"/>
  <c r="E95" i="10"/>
  <c r="E94" i="10"/>
  <c r="E93" i="10"/>
  <c r="N93" i="10" s="1"/>
  <c r="H108" i="10"/>
  <c r="N108" i="10" s="1"/>
  <c r="H103" i="10"/>
  <c r="N103" i="10" s="1"/>
  <c r="H93" i="10"/>
  <c r="H80" i="10"/>
  <c r="H81" i="10"/>
  <c r="H82" i="10"/>
  <c r="H83" i="10"/>
  <c r="H84" i="10"/>
  <c r="H85" i="10"/>
  <c r="H86" i="10"/>
  <c r="H87" i="10"/>
  <c r="K87" i="10" s="1"/>
  <c r="H79" i="10"/>
  <c r="H71" i="10"/>
  <c r="H72" i="10"/>
  <c r="H73" i="10"/>
  <c r="H74" i="10"/>
  <c r="H75" i="10"/>
  <c r="H76" i="10"/>
  <c r="H77" i="10"/>
  <c r="H78" i="10"/>
  <c r="H70" i="10"/>
  <c r="H62" i="10"/>
  <c r="H63" i="10"/>
  <c r="H64" i="10"/>
  <c r="H65" i="10"/>
  <c r="H66" i="10"/>
  <c r="H67" i="10"/>
  <c r="H68" i="10"/>
  <c r="H69" i="10"/>
  <c r="H61" i="10"/>
  <c r="H53" i="10"/>
  <c r="H54" i="10"/>
  <c r="H55" i="10"/>
  <c r="H56" i="10"/>
  <c r="H57" i="10"/>
  <c r="H58" i="10"/>
  <c r="H59" i="10"/>
  <c r="H60" i="10"/>
  <c r="H52" i="10"/>
  <c r="H11" i="10"/>
  <c r="H12" i="10"/>
  <c r="H13" i="10"/>
  <c r="H20" i="10"/>
  <c r="H21" i="10"/>
  <c r="H22" i="10"/>
  <c r="H29" i="10"/>
  <c r="H30" i="10"/>
  <c r="H31" i="10"/>
  <c r="H38" i="10"/>
  <c r="H39" i="10"/>
  <c r="H40" i="10"/>
  <c r="E84" i="10"/>
  <c r="E83" i="10"/>
  <c r="E82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K67" i="10" s="1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46" i="10"/>
  <c r="E37" i="10"/>
  <c r="E28" i="10"/>
  <c r="E19" i="10"/>
  <c r="E45" i="10"/>
  <c r="E36" i="10"/>
  <c r="E27" i="10"/>
  <c r="E18" i="10"/>
  <c r="E44" i="10"/>
  <c r="E35" i="10"/>
  <c r="E26" i="10"/>
  <c r="E17" i="10"/>
  <c r="E42" i="10"/>
  <c r="E33" i="10"/>
  <c r="E24" i="10"/>
  <c r="E15" i="10"/>
  <c r="E41" i="10"/>
  <c r="E32" i="10"/>
  <c r="E23" i="10"/>
  <c r="E14" i="10"/>
  <c r="E40" i="10"/>
  <c r="E31" i="10"/>
  <c r="E22" i="10"/>
  <c r="L22" i="10" s="1"/>
  <c r="E13" i="10"/>
  <c r="E39" i="10"/>
  <c r="L39" i="10" s="1"/>
  <c r="E30" i="10"/>
  <c r="E21" i="10"/>
  <c r="E12" i="10"/>
  <c r="E38" i="10"/>
  <c r="E29" i="10"/>
  <c r="E20" i="10"/>
  <c r="L20" i="10" s="1"/>
  <c r="E11" i="10"/>
  <c r="E43" i="10"/>
  <c r="E34" i="10"/>
  <c r="E25" i="10"/>
  <c r="E16" i="10"/>
  <c r="H42" i="10"/>
  <c r="H43" i="10"/>
  <c r="H44" i="10"/>
  <c r="H45" i="10"/>
  <c r="H46" i="10"/>
  <c r="H34" i="10"/>
  <c r="H35" i="10"/>
  <c r="H36" i="10"/>
  <c r="H37" i="10"/>
  <c r="H25" i="10"/>
  <c r="H26" i="10"/>
  <c r="H27" i="10"/>
  <c r="H28" i="10"/>
  <c r="H15" i="10"/>
  <c r="H16" i="10"/>
  <c r="H17" i="10"/>
  <c r="H18" i="10"/>
  <c r="H19" i="10"/>
  <c r="H41" i="10"/>
  <c r="H33" i="10"/>
  <c r="H32" i="10"/>
  <c r="H24" i="10"/>
  <c r="H23" i="10"/>
  <c r="H14" i="10"/>
  <c r="E74" i="9"/>
  <c r="E73" i="9"/>
  <c r="E72" i="9"/>
  <c r="E71" i="9"/>
  <c r="E70" i="9"/>
  <c r="E69" i="9"/>
  <c r="E68" i="9"/>
  <c r="E67" i="9"/>
  <c r="E66" i="9"/>
  <c r="E65" i="9"/>
  <c r="E64" i="9"/>
  <c r="E63" i="9"/>
  <c r="E54" i="9"/>
  <c r="E50" i="9"/>
  <c r="E46" i="9"/>
  <c r="E42" i="9"/>
  <c r="E38" i="9"/>
  <c r="E34" i="9"/>
  <c r="E47" i="9"/>
  <c r="E55" i="9"/>
  <c r="K55" i="9" s="1"/>
  <c r="E51" i="9"/>
  <c r="E43" i="9"/>
  <c r="E39" i="9"/>
  <c r="E35" i="9"/>
  <c r="E56" i="9"/>
  <c r="K56" i="9" s="1"/>
  <c r="E52" i="9"/>
  <c r="E48" i="9"/>
  <c r="E44" i="9"/>
  <c r="E40" i="9"/>
  <c r="E36" i="9"/>
  <c r="E41" i="9"/>
  <c r="E57" i="9"/>
  <c r="K57" i="9" s="1"/>
  <c r="E53" i="9"/>
  <c r="E49" i="9"/>
  <c r="E45" i="9"/>
  <c r="E37" i="9"/>
  <c r="H53" i="9"/>
  <c r="H52" i="9"/>
  <c r="H51" i="9"/>
  <c r="K51" i="9" s="1"/>
  <c r="H50" i="9"/>
  <c r="K50" i="9" s="1"/>
  <c r="H49" i="9"/>
  <c r="K49" i="9" s="1"/>
  <c r="H48" i="9"/>
  <c r="K48" i="9" s="1"/>
  <c r="H47" i="9"/>
  <c r="H46" i="9"/>
  <c r="K46" i="9" s="1"/>
  <c r="H45" i="9"/>
  <c r="H44" i="9"/>
  <c r="K44" i="9" s="1"/>
  <c r="H43" i="9"/>
  <c r="K43" i="9" s="1"/>
  <c r="H42" i="9"/>
  <c r="H41" i="9"/>
  <c r="K41" i="9" s="1"/>
  <c r="H40" i="9"/>
  <c r="K40" i="9" s="1"/>
  <c r="H39" i="9"/>
  <c r="K39" i="9" s="1"/>
  <c r="H38" i="9"/>
  <c r="H37" i="9"/>
  <c r="K37" i="9" s="1"/>
  <c r="H36" i="9"/>
  <c r="H35" i="9"/>
  <c r="K35" i="9" s="1"/>
  <c r="H34" i="9"/>
  <c r="H18" i="9"/>
  <c r="H19" i="9"/>
  <c r="H20" i="9"/>
  <c r="H21" i="9"/>
  <c r="H22" i="9"/>
  <c r="H12" i="9"/>
  <c r="H13" i="9"/>
  <c r="L13" i="9" s="1"/>
  <c r="H14" i="9"/>
  <c r="H15" i="9"/>
  <c r="H16" i="9"/>
  <c r="H17" i="9"/>
  <c r="H11" i="9"/>
  <c r="H28" i="9"/>
  <c r="H27" i="9"/>
  <c r="H26" i="9"/>
  <c r="H25" i="9"/>
  <c r="H24" i="9"/>
  <c r="H23" i="9"/>
  <c r="E28" i="9"/>
  <c r="E27" i="9"/>
  <c r="E24" i="9"/>
  <c r="E23" i="9"/>
  <c r="E22" i="9"/>
  <c r="L22" i="9" s="1"/>
  <c r="L20" i="9"/>
  <c r="E18" i="9"/>
  <c r="E17" i="9"/>
  <c r="L17" i="9" s="1"/>
  <c r="E16" i="9"/>
  <c r="E15" i="9"/>
  <c r="E12" i="9"/>
  <c r="E11" i="9"/>
  <c r="L11" i="9" s="1"/>
  <c r="I39" i="17" l="1"/>
  <c r="M39" i="17" s="1"/>
  <c r="N39" i="17"/>
  <c r="P98" i="10"/>
  <c r="L98" i="10"/>
  <c r="Q98" i="10"/>
  <c r="M98" i="10"/>
  <c r="J98" i="10"/>
  <c r="I98" i="10"/>
  <c r="O98" i="10"/>
  <c r="K98" i="10"/>
  <c r="P106" i="10"/>
  <c r="L106" i="10"/>
  <c r="AD106" i="10" s="1"/>
  <c r="M106" i="10"/>
  <c r="AE106" i="10" s="1"/>
  <c r="O106" i="10"/>
  <c r="AG106" i="10" s="1"/>
  <c r="K106" i="10"/>
  <c r="M107" i="10"/>
  <c r="O107" i="10"/>
  <c r="I107" i="10"/>
  <c r="L107" i="10"/>
  <c r="Q107" i="10"/>
  <c r="J107" i="10"/>
  <c r="K13" i="17"/>
  <c r="U13" i="17" s="1"/>
  <c r="L13" i="17"/>
  <c r="V13" i="17" s="1"/>
  <c r="I13" i="17"/>
  <c r="S13" i="17" s="1"/>
  <c r="T23" i="14"/>
  <c r="M23" i="14"/>
  <c r="W23" i="14" s="1"/>
  <c r="L23" i="14"/>
  <c r="V23" i="14" s="1"/>
  <c r="K23" i="14"/>
  <c r="U23" i="14" s="1"/>
  <c r="I23" i="14"/>
  <c r="S23" i="14" s="1"/>
  <c r="N14" i="14"/>
  <c r="I14" i="14"/>
  <c r="M14" i="14" s="1"/>
  <c r="N15" i="14"/>
  <c r="I15" i="14"/>
  <c r="M15" i="14" s="1"/>
  <c r="I57" i="8"/>
  <c r="P100" i="10"/>
  <c r="AH100" i="10" s="1"/>
  <c r="M100" i="10"/>
  <c r="M99" i="10"/>
  <c r="AE99" i="10" s="1"/>
  <c r="I99" i="10"/>
  <c r="AF99" i="10"/>
  <c r="K108" i="10"/>
  <c r="J108" i="10"/>
  <c r="AB108" i="10" s="1"/>
  <c r="O108" i="10"/>
  <c r="I108" i="10"/>
  <c r="L108" i="10"/>
  <c r="P108" i="10"/>
  <c r="AH108" i="10" s="1"/>
  <c r="M108" i="10"/>
  <c r="Q108" i="10"/>
  <c r="M101" i="10"/>
  <c r="L101" i="10"/>
  <c r="J101" i="10"/>
  <c r="O101" i="10"/>
  <c r="I101" i="10"/>
  <c r="I12" i="14"/>
  <c r="M12" i="14" s="1"/>
  <c r="N12" i="14"/>
  <c r="M103" i="10"/>
  <c r="P103" i="10"/>
  <c r="Q103" i="10"/>
  <c r="L103" i="10"/>
  <c r="J103" i="10"/>
  <c r="O103" i="10"/>
  <c r="I103" i="10"/>
  <c r="N13" i="14"/>
  <c r="I13" i="14"/>
  <c r="M13" i="14" s="1"/>
  <c r="I59" i="8"/>
  <c r="K30" i="17"/>
  <c r="L30" i="17" s="1"/>
  <c r="T30" i="17" s="1"/>
  <c r="J44" i="17"/>
  <c r="K45" i="9"/>
  <c r="K53" i="9"/>
  <c r="L30" i="10"/>
  <c r="I30" i="10" s="1"/>
  <c r="Q30" i="10" s="1"/>
  <c r="K80" i="10"/>
  <c r="J80" i="10" s="1"/>
  <c r="R80" i="10" s="1"/>
  <c r="K32" i="11"/>
  <c r="K62" i="11"/>
  <c r="Q62" i="11" s="1"/>
  <c r="I61" i="12"/>
  <c r="K38" i="9"/>
  <c r="J15" i="13"/>
  <c r="I15" i="13" s="1"/>
  <c r="M15" i="13" s="1"/>
  <c r="J79" i="15"/>
  <c r="J89" i="15"/>
  <c r="J125" i="15"/>
  <c r="I125" i="15" s="1"/>
  <c r="M125" i="15" s="1"/>
  <c r="L15" i="17"/>
  <c r="V15" i="17" s="1"/>
  <c r="K27" i="17"/>
  <c r="I24" i="18"/>
  <c r="M24" i="18" s="1"/>
  <c r="J35" i="18"/>
  <c r="N42" i="18"/>
  <c r="L105" i="10"/>
  <c r="L94" i="10"/>
  <c r="J32" i="13"/>
  <c r="P32" i="13" s="1"/>
  <c r="I59" i="16"/>
  <c r="L15" i="9"/>
  <c r="J15" i="9" s="1"/>
  <c r="R15" i="9" s="1"/>
  <c r="L46" i="10"/>
  <c r="T46" i="10" s="1"/>
  <c r="K63" i="11"/>
  <c r="K47" i="9"/>
  <c r="K60" i="10"/>
  <c r="K56" i="11"/>
  <c r="Q56" i="11" s="1"/>
  <c r="K64" i="11"/>
  <c r="I64" i="11" s="1"/>
  <c r="O64" i="11" s="1"/>
  <c r="I47" i="12"/>
  <c r="M47" i="12" s="1"/>
  <c r="I63" i="12"/>
  <c r="J16" i="13"/>
  <c r="N16" i="13" s="1"/>
  <c r="J51" i="13"/>
  <c r="J94" i="15"/>
  <c r="J66" i="16"/>
  <c r="T66" i="16" s="1"/>
  <c r="K32" i="17"/>
  <c r="L32" i="17" s="1"/>
  <c r="T32" i="17" s="1"/>
  <c r="J52" i="17"/>
  <c r="J49" i="17"/>
  <c r="I25" i="18"/>
  <c r="J36" i="18"/>
  <c r="I102" i="10"/>
  <c r="J104" i="10"/>
  <c r="K104" i="10"/>
  <c r="L104" i="10"/>
  <c r="L82" i="16"/>
  <c r="I60" i="16"/>
  <c r="J134" i="15"/>
  <c r="J37" i="18"/>
  <c r="N37" i="18" s="1"/>
  <c r="J37" i="13"/>
  <c r="K34" i="9"/>
  <c r="K42" i="9"/>
  <c r="I42" i="9" s="1"/>
  <c r="O42" i="9" s="1"/>
  <c r="K13" i="11"/>
  <c r="J13" i="11" s="1"/>
  <c r="R13" i="11" s="1"/>
  <c r="K21" i="11"/>
  <c r="J73" i="15"/>
  <c r="J109" i="15"/>
  <c r="I109" i="15" s="1"/>
  <c r="M109" i="15" s="1"/>
  <c r="I15" i="17"/>
  <c r="S15" i="17" s="1"/>
  <c r="K31" i="17"/>
  <c r="J39" i="18"/>
  <c r="J44" i="18"/>
  <c r="N44" i="18" s="1"/>
  <c r="J96" i="10"/>
  <c r="I96" i="10"/>
  <c r="M96" i="10"/>
  <c r="I40" i="16"/>
  <c r="J40" i="16" s="1"/>
  <c r="R40" i="16" s="1"/>
  <c r="K36" i="9"/>
  <c r="K52" i="9"/>
  <c r="K15" i="11"/>
  <c r="K23" i="11"/>
  <c r="L23" i="11" s="1"/>
  <c r="T23" i="11" s="1"/>
  <c r="K31" i="11"/>
  <c r="I31" i="11" s="1"/>
  <c r="Q31" i="11" s="1"/>
  <c r="K61" i="11"/>
  <c r="Q61" i="11" s="1"/>
  <c r="L71" i="12"/>
  <c r="P71" i="12" s="1"/>
  <c r="AF71" i="12" s="1"/>
  <c r="J48" i="13"/>
  <c r="L48" i="13" s="1"/>
  <c r="V48" i="13" s="1"/>
  <c r="J62" i="15"/>
  <c r="J81" i="15"/>
  <c r="J97" i="15"/>
  <c r="J130" i="15"/>
  <c r="I130" i="15" s="1"/>
  <c r="M130" i="15" s="1"/>
  <c r="J17" i="17"/>
  <c r="T17" i="17" s="1"/>
  <c r="K29" i="17"/>
  <c r="I29" i="17" s="1"/>
  <c r="Q29" i="17" s="1"/>
  <c r="J46" i="17"/>
  <c r="J41" i="18"/>
  <c r="I94" i="10"/>
  <c r="J94" i="10"/>
  <c r="L96" i="10"/>
  <c r="M94" i="10"/>
  <c r="I57" i="16"/>
  <c r="J22" i="13"/>
  <c r="I22" i="13" s="1"/>
  <c r="M22" i="13" s="1"/>
  <c r="J49" i="13"/>
  <c r="J131" i="15"/>
  <c r="I131" i="15" s="1"/>
  <c r="M131" i="15" s="1"/>
  <c r="J15" i="17"/>
  <c r="T15" i="17" s="1"/>
  <c r="K24" i="17"/>
  <c r="J48" i="17"/>
  <c r="N48" i="17" s="1"/>
  <c r="J45" i="17"/>
  <c r="N47" i="17"/>
  <c r="L95" i="10"/>
  <c r="P95" i="10"/>
  <c r="I58" i="16"/>
  <c r="I44" i="16"/>
  <c r="Q44" i="16" s="1"/>
  <c r="O104" i="10"/>
  <c r="I104" i="10"/>
  <c r="M104" i="10"/>
  <c r="Q102" i="10"/>
  <c r="AI102" i="10" s="1"/>
  <c r="J102" i="10"/>
  <c r="K102" i="10"/>
  <c r="AC102" i="10" s="1"/>
  <c r="O102" i="10"/>
  <c r="M102" i="10"/>
  <c r="P101" i="10"/>
  <c r="Q101" i="10"/>
  <c r="I105" i="10"/>
  <c r="O105" i="10"/>
  <c r="Q105" i="10"/>
  <c r="J105" i="10"/>
  <c r="P105" i="10"/>
  <c r="I106" i="10"/>
  <c r="J106" i="10"/>
  <c r="Q106" i="10"/>
  <c r="AI106" i="10" s="1"/>
  <c r="P107" i="10"/>
  <c r="Q100" i="10"/>
  <c r="AI100" i="10" s="1"/>
  <c r="J100" i="10"/>
  <c r="K100" i="10"/>
  <c r="AC100" i="10" s="1"/>
  <c r="L100" i="10"/>
  <c r="O100" i="10"/>
  <c r="I100" i="10"/>
  <c r="L99" i="10"/>
  <c r="AD99" i="10" s="1"/>
  <c r="P99" i="10"/>
  <c r="AH99" i="10" s="1"/>
  <c r="Q99" i="10"/>
  <c r="AI99" i="10" s="1"/>
  <c r="J99" i="10"/>
  <c r="O99" i="10"/>
  <c r="AG99" i="10" s="1"/>
  <c r="J97" i="10"/>
  <c r="O97" i="10"/>
  <c r="P97" i="10"/>
  <c r="I97" i="10"/>
  <c r="L97" i="10"/>
  <c r="Q97" i="10"/>
  <c r="P96" i="10"/>
  <c r="O96" i="10"/>
  <c r="J95" i="10"/>
  <c r="I95" i="10"/>
  <c r="O95" i="10"/>
  <c r="Q95" i="10"/>
  <c r="O94" i="10"/>
  <c r="P94" i="10"/>
  <c r="L22" i="14"/>
  <c r="V22" i="14" s="1"/>
  <c r="I22" i="14"/>
  <c r="S22" i="14" s="1"/>
  <c r="K22" i="14"/>
  <c r="U22" i="14" s="1"/>
  <c r="M22" i="14"/>
  <c r="W22" i="14" s="1"/>
  <c r="J58" i="16"/>
  <c r="J56" i="16"/>
  <c r="R56" i="16" s="1"/>
  <c r="L58" i="16"/>
  <c r="K107" i="10"/>
  <c r="K105" i="10"/>
  <c r="K103" i="10"/>
  <c r="K101" i="10"/>
  <c r="K99" i="10"/>
  <c r="K97" i="10"/>
  <c r="K95" i="10"/>
  <c r="AG15" i="15"/>
  <c r="N15" i="15"/>
  <c r="AF15" i="15" s="1"/>
  <c r="N94" i="15"/>
  <c r="I94" i="15"/>
  <c r="M94" i="15" s="1"/>
  <c r="N118" i="15"/>
  <c r="I118" i="15"/>
  <c r="M118" i="15" s="1"/>
  <c r="L41" i="16"/>
  <c r="T41" i="16" s="1"/>
  <c r="Q41" i="16"/>
  <c r="L37" i="16"/>
  <c r="T37" i="16" s="1"/>
  <c r="Q37" i="16"/>
  <c r="L49" i="16"/>
  <c r="T49" i="16" s="1"/>
  <c r="Q49" i="16"/>
  <c r="Q60" i="16"/>
  <c r="J27" i="17"/>
  <c r="R27" i="17" s="1"/>
  <c r="S27" i="17"/>
  <c r="I27" i="17"/>
  <c r="Q27" i="17" s="1"/>
  <c r="S25" i="17"/>
  <c r="J25" i="17"/>
  <c r="R25" i="17" s="1"/>
  <c r="L25" i="17"/>
  <c r="T25" i="17" s="1"/>
  <c r="I25" i="17"/>
  <c r="Q25" i="17" s="1"/>
  <c r="J33" i="17"/>
  <c r="R33" i="17" s="1"/>
  <c r="S33" i="17"/>
  <c r="L33" i="17"/>
  <c r="T33" i="17" s="1"/>
  <c r="I33" i="17"/>
  <c r="Q33" i="17" s="1"/>
  <c r="J31" i="17"/>
  <c r="R31" i="17" s="1"/>
  <c r="S31" i="17"/>
  <c r="I31" i="17"/>
  <c r="Q31" i="17" s="1"/>
  <c r="I26" i="17"/>
  <c r="Q26" i="17" s="1"/>
  <c r="S26" i="17"/>
  <c r="N43" i="17"/>
  <c r="I43" i="17"/>
  <c r="M43" i="17" s="1"/>
  <c r="N42" i="17"/>
  <c r="I42" i="17"/>
  <c r="M42" i="17" s="1"/>
  <c r="I46" i="17"/>
  <c r="M46" i="17" s="1"/>
  <c r="N46" i="17"/>
  <c r="I50" i="17"/>
  <c r="M50" i="17" s="1"/>
  <c r="N50" i="17"/>
  <c r="N54" i="17"/>
  <c r="I54" i="17"/>
  <c r="M54" i="17" s="1"/>
  <c r="I58" i="17"/>
  <c r="M58" i="17" s="1"/>
  <c r="N58" i="17"/>
  <c r="N35" i="18"/>
  <c r="I35" i="18"/>
  <c r="M35" i="18" s="1"/>
  <c r="I37" i="18"/>
  <c r="M37" i="18" s="1"/>
  <c r="N39" i="18"/>
  <c r="I39" i="18"/>
  <c r="M39" i="18" s="1"/>
  <c r="N41" i="18"/>
  <c r="I41" i="18"/>
  <c r="M41" i="18" s="1"/>
  <c r="I44" i="18"/>
  <c r="M44" i="18" s="1"/>
  <c r="L28" i="10"/>
  <c r="I28" i="10" s="1"/>
  <c r="Q28" i="10" s="1"/>
  <c r="K58" i="10"/>
  <c r="M63" i="9"/>
  <c r="Y63" i="9" s="1"/>
  <c r="M66" i="9"/>
  <c r="M70" i="9"/>
  <c r="I70" i="9" s="1"/>
  <c r="U70" i="9" s="1"/>
  <c r="M74" i="9"/>
  <c r="L74" i="9" s="1"/>
  <c r="X74" i="9" s="1"/>
  <c r="L43" i="10"/>
  <c r="L29" i="10"/>
  <c r="L31" i="10"/>
  <c r="I31" i="10" s="1"/>
  <c r="Q31" i="10" s="1"/>
  <c r="L32" i="10"/>
  <c r="L37" i="10"/>
  <c r="T37" i="10" s="1"/>
  <c r="K81" i="10"/>
  <c r="K41" i="11"/>
  <c r="I41" i="11" s="1"/>
  <c r="O41" i="11" s="1"/>
  <c r="M13" i="18"/>
  <c r="W14" i="18"/>
  <c r="L79" i="11"/>
  <c r="AB79" i="11" s="1"/>
  <c r="K14" i="12"/>
  <c r="J14" i="12" s="1"/>
  <c r="R14" i="12" s="1"/>
  <c r="K16" i="12"/>
  <c r="K18" i="12"/>
  <c r="K22" i="12"/>
  <c r="I56" i="12"/>
  <c r="I38" i="12"/>
  <c r="M38" i="12" s="1"/>
  <c r="I34" i="12"/>
  <c r="L70" i="12"/>
  <c r="K75" i="12"/>
  <c r="AA75" i="12" s="1"/>
  <c r="J12" i="13"/>
  <c r="J14" i="13"/>
  <c r="J11" i="13"/>
  <c r="N11" i="13" s="1"/>
  <c r="J13" i="13"/>
  <c r="K35" i="13"/>
  <c r="K33" i="13"/>
  <c r="O19" i="15"/>
  <c r="O23" i="15"/>
  <c r="N23" i="15" s="1"/>
  <c r="AF23" i="15" s="1"/>
  <c r="O27" i="15"/>
  <c r="N58" i="15"/>
  <c r="I58" i="15"/>
  <c r="M58" i="15" s="1"/>
  <c r="N62" i="15"/>
  <c r="I62" i="15"/>
  <c r="M62" i="15" s="1"/>
  <c r="N66" i="15"/>
  <c r="I66" i="15"/>
  <c r="M66" i="15" s="1"/>
  <c r="N98" i="15"/>
  <c r="I98" i="15"/>
  <c r="M98" i="15" s="1"/>
  <c r="N114" i="15"/>
  <c r="I114" i="15"/>
  <c r="M114" i="15" s="1"/>
  <c r="N102" i="15"/>
  <c r="I102" i="15"/>
  <c r="M102" i="15" s="1"/>
  <c r="N134" i="15"/>
  <c r="I134" i="15"/>
  <c r="M134" i="15" s="1"/>
  <c r="T56" i="16"/>
  <c r="Q56" i="16"/>
  <c r="L45" i="16"/>
  <c r="T45" i="16" s="1"/>
  <c r="Q45" i="16"/>
  <c r="L12" i="17"/>
  <c r="V12" i="17" s="1"/>
  <c r="J12" i="17"/>
  <c r="T12" i="17" s="1"/>
  <c r="W12" i="17"/>
  <c r="K12" i="17"/>
  <c r="U12" i="17" s="1"/>
  <c r="I12" i="17"/>
  <c r="S12" i="17" s="1"/>
  <c r="J14" i="17"/>
  <c r="T14" i="17" s="1"/>
  <c r="W14" i="17"/>
  <c r="K14" i="17"/>
  <c r="U14" i="17" s="1"/>
  <c r="L14" i="17"/>
  <c r="V14" i="17" s="1"/>
  <c r="I14" i="17"/>
  <c r="S14" i="17" s="1"/>
  <c r="L16" i="17"/>
  <c r="V16" i="17" s="1"/>
  <c r="W16" i="17"/>
  <c r="K16" i="17"/>
  <c r="U16" i="17" s="1"/>
  <c r="J16" i="17"/>
  <c r="T16" i="17" s="1"/>
  <c r="I16" i="17"/>
  <c r="S16" i="17" s="1"/>
  <c r="J18" i="17"/>
  <c r="T18" i="17" s="1"/>
  <c r="W18" i="17"/>
  <c r="L18" i="17"/>
  <c r="V18" i="17" s="1"/>
  <c r="K18" i="17"/>
  <c r="U18" i="17" s="1"/>
  <c r="I18" i="17"/>
  <c r="S18" i="17" s="1"/>
  <c r="I32" i="17"/>
  <c r="Q32" i="17" s="1"/>
  <c r="J32" i="17"/>
  <c r="R32" i="17" s="1"/>
  <c r="I30" i="17"/>
  <c r="Q30" i="17" s="1"/>
  <c r="L28" i="17"/>
  <c r="T28" i="17" s="1"/>
  <c r="S28" i="17"/>
  <c r="J28" i="17"/>
  <c r="R28" i="17" s="1"/>
  <c r="I28" i="17"/>
  <c r="Q28" i="17" s="1"/>
  <c r="N40" i="17"/>
  <c r="I40" i="17"/>
  <c r="M40" i="17" s="1"/>
  <c r="I44" i="17"/>
  <c r="M44" i="17" s="1"/>
  <c r="N44" i="17"/>
  <c r="I56" i="17"/>
  <c r="M56" i="17" s="1"/>
  <c r="N56" i="17"/>
  <c r="I41" i="17"/>
  <c r="M41" i="17" s="1"/>
  <c r="N41" i="17"/>
  <c r="N53" i="17"/>
  <c r="I53" i="17"/>
  <c r="M53" i="17" s="1"/>
  <c r="N57" i="17"/>
  <c r="I57" i="17"/>
  <c r="M57" i="17" s="1"/>
  <c r="I38" i="18"/>
  <c r="M38" i="18" s="1"/>
  <c r="N38" i="18"/>
  <c r="I40" i="18"/>
  <c r="M40" i="18" s="1"/>
  <c r="N40" i="18"/>
  <c r="I36" i="18"/>
  <c r="M36" i="18" s="1"/>
  <c r="N36" i="18"/>
  <c r="N43" i="18"/>
  <c r="I43" i="18"/>
  <c r="M43" i="18" s="1"/>
  <c r="K36" i="13"/>
  <c r="Q36" i="13" s="1"/>
  <c r="K40" i="13"/>
  <c r="K39" i="13"/>
  <c r="K34" i="13"/>
  <c r="J34" i="13" s="1"/>
  <c r="K31" i="13"/>
  <c r="O14" i="15"/>
  <c r="O18" i="15"/>
  <c r="O26" i="15"/>
  <c r="N49" i="15"/>
  <c r="N45" i="15"/>
  <c r="J67" i="15"/>
  <c r="J71" i="15"/>
  <c r="J87" i="15"/>
  <c r="J91" i="15"/>
  <c r="J57" i="15"/>
  <c r="J59" i="15"/>
  <c r="J61" i="15"/>
  <c r="I61" i="15" s="1"/>
  <c r="M61" i="15" s="1"/>
  <c r="J63" i="15"/>
  <c r="J65" i="15"/>
  <c r="J74" i="15"/>
  <c r="J72" i="15"/>
  <c r="I72" i="15" s="1"/>
  <c r="M72" i="15" s="1"/>
  <c r="J70" i="15"/>
  <c r="J68" i="15"/>
  <c r="J75" i="15"/>
  <c r="J82" i="15"/>
  <c r="N82" i="15" s="1"/>
  <c r="J80" i="15"/>
  <c r="J78" i="15"/>
  <c r="J76" i="15"/>
  <c r="J92" i="15"/>
  <c r="I92" i="15" s="1"/>
  <c r="M92" i="15" s="1"/>
  <c r="J90" i="15"/>
  <c r="J88" i="15"/>
  <c r="J86" i="15"/>
  <c r="J95" i="15"/>
  <c r="N95" i="15" s="1"/>
  <c r="J99" i="15"/>
  <c r="J103" i="15"/>
  <c r="J107" i="15"/>
  <c r="J113" i="15"/>
  <c r="I113" i="15" s="1"/>
  <c r="M113" i="15" s="1"/>
  <c r="J115" i="15"/>
  <c r="N115" i="15" s="1"/>
  <c r="J117" i="15"/>
  <c r="J119" i="15"/>
  <c r="J123" i="15"/>
  <c r="N123" i="15" s="1"/>
  <c r="J127" i="15"/>
  <c r="J93" i="15"/>
  <c r="J100" i="15"/>
  <c r="J96" i="15"/>
  <c r="J110" i="15"/>
  <c r="J108" i="15"/>
  <c r="J106" i="15"/>
  <c r="J104" i="15"/>
  <c r="I104" i="15" s="1"/>
  <c r="M104" i="15" s="1"/>
  <c r="J111" i="15"/>
  <c r="J116" i="15"/>
  <c r="J112" i="15"/>
  <c r="J128" i="15"/>
  <c r="J126" i="15"/>
  <c r="I126" i="15" s="1"/>
  <c r="M126" i="15" s="1"/>
  <c r="J124" i="15"/>
  <c r="I124" i="15" s="1"/>
  <c r="M124" i="15" s="1"/>
  <c r="J122" i="15"/>
  <c r="J129" i="15"/>
  <c r="J137" i="15"/>
  <c r="J133" i="15"/>
  <c r="Q46" i="16"/>
  <c r="Q38" i="16"/>
  <c r="Q43" i="16"/>
  <c r="Q50" i="16"/>
  <c r="Q48" i="16"/>
  <c r="Q55" i="16"/>
  <c r="Q53" i="16"/>
  <c r="K73" i="16"/>
  <c r="U73" i="16" s="1"/>
  <c r="I11" i="17"/>
  <c r="S11" i="17" s="1"/>
  <c r="J13" i="17"/>
  <c r="T13" i="17" s="1"/>
  <c r="K15" i="17"/>
  <c r="U15" i="17" s="1"/>
  <c r="L17" i="17"/>
  <c r="V17" i="17" s="1"/>
  <c r="W17" i="17"/>
  <c r="W13" i="17"/>
  <c r="I55" i="17"/>
  <c r="M55" i="17" s="1"/>
  <c r="I51" i="17"/>
  <c r="M51" i="17" s="1"/>
  <c r="I21" i="18"/>
  <c r="I27" i="18"/>
  <c r="J27" i="18" s="1"/>
  <c r="N27" i="18" s="1"/>
  <c r="J60" i="15"/>
  <c r="I60" i="15" s="1"/>
  <c r="M60" i="15" s="1"/>
  <c r="J64" i="15"/>
  <c r="J84" i="15"/>
  <c r="I84" i="15" s="1"/>
  <c r="M84" i="15" s="1"/>
  <c r="J120" i="15"/>
  <c r="J136" i="15"/>
  <c r="J132" i="15"/>
  <c r="Q42" i="16"/>
  <c r="Q54" i="16"/>
  <c r="Q52" i="16"/>
  <c r="I22" i="18"/>
  <c r="I26" i="18"/>
  <c r="M26" i="18" s="1"/>
  <c r="I28" i="18"/>
  <c r="I34" i="13"/>
  <c r="P34" i="13"/>
  <c r="I38" i="13"/>
  <c r="P38" i="13"/>
  <c r="J24" i="13"/>
  <c r="J21" i="13"/>
  <c r="K12" i="11"/>
  <c r="L12" i="11" s="1"/>
  <c r="T12" i="11" s="1"/>
  <c r="K49" i="11"/>
  <c r="Q49" i="11" s="1"/>
  <c r="L76" i="11"/>
  <c r="K53" i="11"/>
  <c r="Q67" i="11"/>
  <c r="J39" i="10"/>
  <c r="R39" i="10" s="1"/>
  <c r="T39" i="10"/>
  <c r="L34" i="10"/>
  <c r="I34" i="10" s="1"/>
  <c r="Q34" i="10" s="1"/>
  <c r="K74" i="10"/>
  <c r="L11" i="10"/>
  <c r="T11" i="10" s="1"/>
  <c r="L12" i="10"/>
  <c r="L18" i="10"/>
  <c r="I18" i="10" s="1"/>
  <c r="Q18" i="10" s="1"/>
  <c r="K68" i="10"/>
  <c r="K62" i="10"/>
  <c r="I62" i="10" s="1"/>
  <c r="Q62" i="10" s="1"/>
  <c r="K86" i="10"/>
  <c r="L21" i="10"/>
  <c r="K70" i="10"/>
  <c r="L42" i="10"/>
  <c r="L40" i="10"/>
  <c r="K57" i="10"/>
  <c r="K53" i="10"/>
  <c r="K63" i="10"/>
  <c r="K77" i="10"/>
  <c r="K73" i="10"/>
  <c r="K83" i="10"/>
  <c r="L83" i="10" s="1"/>
  <c r="T83" i="10" s="1"/>
  <c r="I20" i="18"/>
  <c r="J22" i="18"/>
  <c r="N22" i="18" s="1"/>
  <c r="M22" i="18"/>
  <c r="I23" i="18"/>
  <c r="J23" i="18" s="1"/>
  <c r="N23" i="18" s="1"/>
  <c r="M27" i="18"/>
  <c r="M28" i="18"/>
  <c r="J28" i="18"/>
  <c r="N28" i="18" s="1"/>
  <c r="I29" i="18"/>
  <c r="J29" i="18" s="1"/>
  <c r="N29" i="18" s="1"/>
  <c r="J26" i="18"/>
  <c r="N26" i="18" s="1"/>
  <c r="J25" i="18"/>
  <c r="N25" i="18" s="1"/>
  <c r="M25" i="18"/>
  <c r="J24" i="18"/>
  <c r="N24" i="18" s="1"/>
  <c r="L26" i="17"/>
  <c r="T26" i="17" s="1"/>
  <c r="J26" i="17"/>
  <c r="R26" i="17" s="1"/>
  <c r="L31" i="17"/>
  <c r="T31" i="17" s="1"/>
  <c r="L27" i="17"/>
  <c r="T27" i="17" s="1"/>
  <c r="I24" i="17"/>
  <c r="Q24" i="17" s="1"/>
  <c r="L24" i="17"/>
  <c r="T24" i="17" s="1"/>
  <c r="S24" i="17"/>
  <c r="J24" i="17"/>
  <c r="R24" i="17" s="1"/>
  <c r="J11" i="17"/>
  <c r="T11" i="17" s="1"/>
  <c r="W11" i="17"/>
  <c r="L11" i="17"/>
  <c r="V11" i="17" s="1"/>
  <c r="K74" i="16"/>
  <c r="U74" i="16" s="1"/>
  <c r="J70" i="16"/>
  <c r="T70" i="16" s="1"/>
  <c r="K78" i="16"/>
  <c r="U78" i="16" s="1"/>
  <c r="M78" i="16"/>
  <c r="W78" i="16" s="1"/>
  <c r="J78" i="16"/>
  <c r="T78" i="16" s="1"/>
  <c r="I78" i="16"/>
  <c r="S78" i="16" s="1"/>
  <c r="K69" i="16"/>
  <c r="U69" i="16" s="1"/>
  <c r="M69" i="16"/>
  <c r="W69" i="16" s="1"/>
  <c r="J69" i="16"/>
  <c r="T69" i="16" s="1"/>
  <c r="I69" i="16"/>
  <c r="S69" i="16" s="1"/>
  <c r="M73" i="16"/>
  <c r="W73" i="16" s="1"/>
  <c r="I73" i="16"/>
  <c r="S73" i="16" s="1"/>
  <c r="K77" i="16"/>
  <c r="U77" i="16" s="1"/>
  <c r="M77" i="16"/>
  <c r="W77" i="16" s="1"/>
  <c r="J77" i="16"/>
  <c r="T77" i="16" s="1"/>
  <c r="I77" i="16"/>
  <c r="S77" i="16" s="1"/>
  <c r="K81" i="16"/>
  <c r="U81" i="16" s="1"/>
  <c r="M81" i="16"/>
  <c r="W81" i="16" s="1"/>
  <c r="J81" i="16"/>
  <c r="T81" i="16" s="1"/>
  <c r="I81" i="16"/>
  <c r="S81" i="16" s="1"/>
  <c r="K85" i="16"/>
  <c r="U85" i="16" s="1"/>
  <c r="M85" i="16"/>
  <c r="W85" i="16" s="1"/>
  <c r="J85" i="16"/>
  <c r="T85" i="16" s="1"/>
  <c r="I85" i="16"/>
  <c r="S85" i="16" s="1"/>
  <c r="I68" i="16"/>
  <c r="S68" i="16" s="1"/>
  <c r="K68" i="16"/>
  <c r="U68" i="16" s="1"/>
  <c r="M68" i="16"/>
  <c r="W68" i="16" s="1"/>
  <c r="J68" i="16"/>
  <c r="T68" i="16" s="1"/>
  <c r="I72" i="16"/>
  <c r="S72" i="16" s="1"/>
  <c r="K72" i="16"/>
  <c r="U72" i="16" s="1"/>
  <c r="M72" i="16"/>
  <c r="W72" i="16" s="1"/>
  <c r="J72" i="16"/>
  <c r="T72" i="16" s="1"/>
  <c r="I76" i="16"/>
  <c r="S76" i="16" s="1"/>
  <c r="K76" i="16"/>
  <c r="U76" i="16" s="1"/>
  <c r="M76" i="16"/>
  <c r="W76" i="16" s="1"/>
  <c r="J76" i="16"/>
  <c r="T76" i="16" s="1"/>
  <c r="I80" i="16"/>
  <c r="S80" i="16" s="1"/>
  <c r="K80" i="16"/>
  <c r="U80" i="16" s="1"/>
  <c r="M80" i="16"/>
  <c r="W80" i="16" s="1"/>
  <c r="J80" i="16"/>
  <c r="T80" i="16" s="1"/>
  <c r="I84" i="16"/>
  <c r="S84" i="16" s="1"/>
  <c r="K84" i="16"/>
  <c r="U84" i="16" s="1"/>
  <c r="M84" i="16"/>
  <c r="W84" i="16" s="1"/>
  <c r="J84" i="16"/>
  <c r="T84" i="16" s="1"/>
  <c r="K67" i="16"/>
  <c r="U67" i="16" s="1"/>
  <c r="M67" i="16"/>
  <c r="W67" i="16" s="1"/>
  <c r="J67" i="16"/>
  <c r="T67" i="16" s="1"/>
  <c r="I67" i="16"/>
  <c r="S67" i="16" s="1"/>
  <c r="M71" i="16"/>
  <c r="W71" i="16" s="1"/>
  <c r="J71" i="16"/>
  <c r="T71" i="16" s="1"/>
  <c r="I71" i="16"/>
  <c r="S71" i="16" s="1"/>
  <c r="K71" i="16"/>
  <c r="U71" i="16" s="1"/>
  <c r="M75" i="16"/>
  <c r="W75" i="16" s="1"/>
  <c r="J75" i="16"/>
  <c r="T75" i="16" s="1"/>
  <c r="I75" i="16"/>
  <c r="S75" i="16" s="1"/>
  <c r="K75" i="16"/>
  <c r="U75" i="16" s="1"/>
  <c r="M79" i="16"/>
  <c r="W79" i="16" s="1"/>
  <c r="J79" i="16"/>
  <c r="T79" i="16" s="1"/>
  <c r="I79" i="16"/>
  <c r="S79" i="16" s="1"/>
  <c r="K79" i="16"/>
  <c r="U79" i="16" s="1"/>
  <c r="M83" i="16"/>
  <c r="W83" i="16" s="1"/>
  <c r="J83" i="16"/>
  <c r="T83" i="16" s="1"/>
  <c r="I83" i="16"/>
  <c r="S83" i="16" s="1"/>
  <c r="K83" i="16"/>
  <c r="U83" i="16" s="1"/>
  <c r="K66" i="16"/>
  <c r="U66" i="16" s="1"/>
  <c r="I66" i="16"/>
  <c r="S66" i="16" s="1"/>
  <c r="M66" i="16"/>
  <c r="W66" i="16" s="1"/>
  <c r="J49" i="11"/>
  <c r="P49" i="11" s="1"/>
  <c r="I57" i="11"/>
  <c r="O57" i="11" s="1"/>
  <c r="Q57" i="11"/>
  <c r="AB70" i="12"/>
  <c r="P70" i="12"/>
  <c r="AF70" i="12" s="1"/>
  <c r="K70" i="12"/>
  <c r="AA70" i="12" s="1"/>
  <c r="O70" i="12"/>
  <c r="AE70" i="12" s="1"/>
  <c r="J70" i="12"/>
  <c r="Z70" i="12" s="1"/>
  <c r="N70" i="12"/>
  <c r="AD70" i="12" s="1"/>
  <c r="M70" i="12"/>
  <c r="AC70" i="12" s="1"/>
  <c r="I70" i="12"/>
  <c r="Y70" i="12" s="1"/>
  <c r="I76" i="11"/>
  <c r="Y76" i="11" s="1"/>
  <c r="O76" i="11"/>
  <c r="AE76" i="11" s="1"/>
  <c r="AB76" i="11"/>
  <c r="AB76" i="12"/>
  <c r="N76" i="12"/>
  <c r="AD76" i="12" s="1"/>
  <c r="M76" i="12"/>
  <c r="AC76" i="12" s="1"/>
  <c r="I76" i="12"/>
  <c r="Y76" i="12" s="1"/>
  <c r="P76" i="12"/>
  <c r="AF76" i="12" s="1"/>
  <c r="K76" i="12"/>
  <c r="AA76" i="12" s="1"/>
  <c r="I12" i="13"/>
  <c r="M12" i="13" s="1"/>
  <c r="N12" i="13"/>
  <c r="I16" i="13"/>
  <c r="M16" i="13" s="1"/>
  <c r="N20" i="13"/>
  <c r="I20" i="13"/>
  <c r="M20" i="13" s="1"/>
  <c r="I24" i="13"/>
  <c r="M24" i="13" s="1"/>
  <c r="N24" i="13"/>
  <c r="T51" i="13"/>
  <c r="K51" i="13"/>
  <c r="U51" i="13" s="1"/>
  <c r="L51" i="13"/>
  <c r="V51" i="13" s="1"/>
  <c r="M51" i="13"/>
  <c r="W51" i="13" s="1"/>
  <c r="I51" i="13"/>
  <c r="S51" i="13" s="1"/>
  <c r="N61" i="15"/>
  <c r="I65" i="15"/>
  <c r="M65" i="15" s="1"/>
  <c r="N65" i="15"/>
  <c r="N72" i="15"/>
  <c r="N78" i="15"/>
  <c r="I78" i="15"/>
  <c r="M78" i="15" s="1"/>
  <c r="N92" i="15"/>
  <c r="N113" i="15"/>
  <c r="I117" i="15"/>
  <c r="M117" i="15" s="1"/>
  <c r="N117" i="15"/>
  <c r="I93" i="15"/>
  <c r="M93" i="15" s="1"/>
  <c r="N93" i="15"/>
  <c r="I128" i="15"/>
  <c r="M128" i="15" s="1"/>
  <c r="N128" i="15"/>
  <c r="N124" i="15"/>
  <c r="L50" i="16"/>
  <c r="T50" i="16" s="1"/>
  <c r="K50" i="16"/>
  <c r="S50" i="16" s="1"/>
  <c r="J50" i="16"/>
  <c r="R50" i="16" s="1"/>
  <c r="L55" i="16"/>
  <c r="T55" i="16" s="1"/>
  <c r="K55" i="16"/>
  <c r="S55" i="16" s="1"/>
  <c r="J55" i="16"/>
  <c r="R55" i="16" s="1"/>
  <c r="L18" i="9"/>
  <c r="L23" i="10"/>
  <c r="L21" i="9"/>
  <c r="J21" i="9" s="1"/>
  <c r="R21" i="9" s="1"/>
  <c r="L23" i="9"/>
  <c r="L19" i="9"/>
  <c r="L19" i="10"/>
  <c r="I37" i="10"/>
  <c r="Q37" i="10" s="1"/>
  <c r="K59" i="10"/>
  <c r="K55" i="10"/>
  <c r="K69" i="10"/>
  <c r="K65" i="10"/>
  <c r="K75" i="10"/>
  <c r="K71" i="10"/>
  <c r="K85" i="10"/>
  <c r="I85" i="10" s="1"/>
  <c r="Q85" i="10" s="1"/>
  <c r="K45" i="11"/>
  <c r="I45" i="11" s="1"/>
  <c r="O45" i="11" s="1"/>
  <c r="J14" i="18"/>
  <c r="T14" i="18" s="1"/>
  <c r="M12" i="18"/>
  <c r="J12" i="18" s="1"/>
  <c r="L74" i="11"/>
  <c r="L78" i="11"/>
  <c r="I40" i="12"/>
  <c r="M40" i="12" s="1"/>
  <c r="I36" i="12"/>
  <c r="M36" i="12" s="1"/>
  <c r="M73" i="12"/>
  <c r="AC73" i="12" s="1"/>
  <c r="O72" i="12"/>
  <c r="AE72" i="12" s="1"/>
  <c r="J86" i="10"/>
  <c r="R86" i="10" s="1"/>
  <c r="S86" i="10"/>
  <c r="AE100" i="10"/>
  <c r="AF100" i="10"/>
  <c r="AB75" i="12"/>
  <c r="O75" i="12"/>
  <c r="AE75" i="12" s="1"/>
  <c r="J75" i="12"/>
  <c r="Z75" i="12" s="1"/>
  <c r="N75" i="12"/>
  <c r="AD75" i="12" s="1"/>
  <c r="M75" i="12"/>
  <c r="AC75" i="12" s="1"/>
  <c r="I75" i="12"/>
  <c r="Y75" i="12" s="1"/>
  <c r="I17" i="13"/>
  <c r="M17" i="13" s="1"/>
  <c r="N17" i="13"/>
  <c r="I21" i="13"/>
  <c r="M21" i="13" s="1"/>
  <c r="N21" i="13"/>
  <c r="O37" i="13"/>
  <c r="P37" i="13"/>
  <c r="M48" i="13"/>
  <c r="W48" i="13" s="1"/>
  <c r="I48" i="13"/>
  <c r="S48" i="13" s="1"/>
  <c r="T48" i="13"/>
  <c r="M49" i="13"/>
  <c r="W49" i="13" s="1"/>
  <c r="I49" i="13"/>
  <c r="S49" i="13" s="1"/>
  <c r="T49" i="13"/>
  <c r="K49" i="13"/>
  <c r="U49" i="13" s="1"/>
  <c r="L49" i="13"/>
  <c r="V49" i="13" s="1"/>
  <c r="L48" i="15"/>
  <c r="AD48" i="15" s="1"/>
  <c r="Q48" i="15"/>
  <c r="AI48" i="15" s="1"/>
  <c r="N60" i="15"/>
  <c r="I64" i="15"/>
  <c r="M64" i="15" s="1"/>
  <c r="N64" i="15"/>
  <c r="I73" i="15"/>
  <c r="M73" i="15" s="1"/>
  <c r="N73" i="15"/>
  <c r="I69" i="15"/>
  <c r="M69" i="15" s="1"/>
  <c r="N69" i="15"/>
  <c r="I83" i="15"/>
  <c r="M83" i="15" s="1"/>
  <c r="N83" i="15"/>
  <c r="I79" i="15"/>
  <c r="M79" i="15" s="1"/>
  <c r="N79" i="15"/>
  <c r="I89" i="15"/>
  <c r="M89" i="15" s="1"/>
  <c r="N89" i="15"/>
  <c r="I85" i="15"/>
  <c r="M85" i="15" s="1"/>
  <c r="N85" i="15"/>
  <c r="I105" i="15"/>
  <c r="M105" i="15" s="1"/>
  <c r="N105" i="15"/>
  <c r="I120" i="15"/>
  <c r="M120" i="15" s="1"/>
  <c r="N120" i="15"/>
  <c r="I121" i="15"/>
  <c r="M121" i="15" s="1"/>
  <c r="N121" i="15"/>
  <c r="I136" i="15"/>
  <c r="M136" i="15" s="1"/>
  <c r="N136" i="15"/>
  <c r="I132" i="15"/>
  <c r="M132" i="15" s="1"/>
  <c r="N132" i="15"/>
  <c r="K40" i="16"/>
  <c r="S40" i="16" s="1"/>
  <c r="L44" i="16"/>
  <c r="T44" i="16" s="1"/>
  <c r="K44" i="16"/>
  <c r="S44" i="16" s="1"/>
  <c r="J44" i="16"/>
  <c r="R44" i="16" s="1"/>
  <c r="L42" i="16"/>
  <c r="T42" i="16" s="1"/>
  <c r="K42" i="16"/>
  <c r="S42" i="16" s="1"/>
  <c r="J42" i="16"/>
  <c r="R42" i="16" s="1"/>
  <c r="L47" i="16"/>
  <c r="T47" i="16" s="1"/>
  <c r="K47" i="16"/>
  <c r="S47" i="16" s="1"/>
  <c r="J47" i="16"/>
  <c r="R47" i="16" s="1"/>
  <c r="L52" i="16"/>
  <c r="T52" i="16" s="1"/>
  <c r="K52" i="16"/>
  <c r="S52" i="16" s="1"/>
  <c r="J52" i="16"/>
  <c r="R52" i="16" s="1"/>
  <c r="T58" i="16"/>
  <c r="R58" i="16"/>
  <c r="L14" i="9"/>
  <c r="I38" i="9"/>
  <c r="O38" i="9" s="1"/>
  <c r="L25" i="10"/>
  <c r="T25" i="10" s="1"/>
  <c r="L25" i="9"/>
  <c r="L27" i="9"/>
  <c r="K27" i="9" s="1"/>
  <c r="S27" i="9" s="1"/>
  <c r="L16" i="10"/>
  <c r="I16" i="10" s="1"/>
  <c r="Q16" i="10" s="1"/>
  <c r="L15" i="10"/>
  <c r="I15" i="10" s="1"/>
  <c r="Q15" i="10" s="1"/>
  <c r="L12" i="9"/>
  <c r="J12" i="9" s="1"/>
  <c r="R12" i="9" s="1"/>
  <c r="L24" i="9"/>
  <c r="L28" i="9"/>
  <c r="T28" i="9" s="1"/>
  <c r="Q45" i="9"/>
  <c r="I46" i="9"/>
  <c r="O46" i="9" s="1"/>
  <c r="M65" i="9"/>
  <c r="I65" i="9" s="1"/>
  <c r="U65" i="9" s="1"/>
  <c r="M67" i="9"/>
  <c r="K67" i="9" s="1"/>
  <c r="W67" i="9" s="1"/>
  <c r="M69" i="9"/>
  <c r="M71" i="9"/>
  <c r="N71" i="9" s="1"/>
  <c r="Z71" i="9" s="1"/>
  <c r="M73" i="9"/>
  <c r="I42" i="10"/>
  <c r="Q42" i="10" s="1"/>
  <c r="K52" i="10"/>
  <c r="I52" i="10" s="1"/>
  <c r="Q52" i="10" s="1"/>
  <c r="K61" i="10"/>
  <c r="K40" i="11"/>
  <c r="K44" i="11"/>
  <c r="K48" i="11"/>
  <c r="K52" i="11"/>
  <c r="M11" i="18"/>
  <c r="L77" i="11"/>
  <c r="L81" i="11"/>
  <c r="O76" i="12"/>
  <c r="AE76" i="12" s="1"/>
  <c r="AB72" i="12"/>
  <c r="N72" i="12"/>
  <c r="AD72" i="12" s="1"/>
  <c r="M72" i="12"/>
  <c r="AC72" i="12" s="1"/>
  <c r="I72" i="12"/>
  <c r="Y72" i="12" s="1"/>
  <c r="P72" i="12"/>
  <c r="AF72" i="12" s="1"/>
  <c r="K72" i="12"/>
  <c r="AA72" i="12" s="1"/>
  <c r="AB74" i="12"/>
  <c r="P74" i="12"/>
  <c r="AF74" i="12" s="1"/>
  <c r="K74" i="12"/>
  <c r="AA74" i="12" s="1"/>
  <c r="O74" i="12"/>
  <c r="AE74" i="12" s="1"/>
  <c r="J74" i="12"/>
  <c r="Z74" i="12" s="1"/>
  <c r="N74" i="12"/>
  <c r="AD74" i="12" s="1"/>
  <c r="M74" i="12"/>
  <c r="AC74" i="12" s="1"/>
  <c r="I74" i="12"/>
  <c r="Y74" i="12" s="1"/>
  <c r="N14" i="13"/>
  <c r="I14" i="13"/>
  <c r="M14" i="13" s="1"/>
  <c r="I18" i="13"/>
  <c r="M18" i="13" s="1"/>
  <c r="N18" i="13"/>
  <c r="O32" i="13"/>
  <c r="Q32" i="13"/>
  <c r="Q40" i="13"/>
  <c r="T47" i="13"/>
  <c r="K47" i="13"/>
  <c r="U47" i="13" s="1"/>
  <c r="V47" i="13"/>
  <c r="M47" i="13"/>
  <c r="W47" i="13" s="1"/>
  <c r="I47" i="13"/>
  <c r="S47" i="13" s="1"/>
  <c r="AG19" i="15"/>
  <c r="J19" i="15"/>
  <c r="AB19" i="15" s="1"/>
  <c r="K19" i="15"/>
  <c r="AC19" i="15" s="1"/>
  <c r="M23" i="15"/>
  <c r="AE23" i="15" s="1"/>
  <c r="K23" i="15"/>
  <c r="AC23" i="15" s="1"/>
  <c r="O49" i="15"/>
  <c r="AG49" i="15" s="1"/>
  <c r="O45" i="15"/>
  <c r="AG45" i="15" s="1"/>
  <c r="I45" i="15"/>
  <c r="AA45" i="15" s="1"/>
  <c r="Q45" i="15"/>
  <c r="AI45" i="15" s="1"/>
  <c r="K45" i="15"/>
  <c r="AC45" i="15" s="1"/>
  <c r="L45" i="15"/>
  <c r="AD45" i="15" s="1"/>
  <c r="I67" i="15"/>
  <c r="M67" i="15" s="1"/>
  <c r="N67" i="15"/>
  <c r="I71" i="15"/>
  <c r="M71" i="15" s="1"/>
  <c r="N71" i="15"/>
  <c r="I91" i="15"/>
  <c r="M91" i="15" s="1"/>
  <c r="N91" i="15"/>
  <c r="I59" i="15"/>
  <c r="M59" i="15" s="1"/>
  <c r="N59" i="15"/>
  <c r="I63" i="15"/>
  <c r="M63" i="15" s="1"/>
  <c r="N63" i="15"/>
  <c r="N74" i="15"/>
  <c r="I74" i="15"/>
  <c r="M74" i="15" s="1"/>
  <c r="N70" i="15"/>
  <c r="I70" i="15"/>
  <c r="M70" i="15" s="1"/>
  <c r="I75" i="15"/>
  <c r="M75" i="15" s="1"/>
  <c r="N75" i="15"/>
  <c r="I80" i="15"/>
  <c r="M80" i="15" s="1"/>
  <c r="N80" i="15"/>
  <c r="I76" i="15"/>
  <c r="M76" i="15" s="1"/>
  <c r="N76" i="15"/>
  <c r="N90" i="15"/>
  <c r="I90" i="15"/>
  <c r="M90" i="15" s="1"/>
  <c r="N86" i="15"/>
  <c r="I86" i="15"/>
  <c r="M86" i="15" s="1"/>
  <c r="I95" i="15"/>
  <c r="M95" i="15" s="1"/>
  <c r="I99" i="15"/>
  <c r="M99" i="15" s="1"/>
  <c r="N99" i="15"/>
  <c r="I103" i="15"/>
  <c r="M103" i="15" s="1"/>
  <c r="N103" i="15"/>
  <c r="I107" i="15"/>
  <c r="M107" i="15" s="1"/>
  <c r="N107" i="15"/>
  <c r="I115" i="15"/>
  <c r="M115" i="15" s="1"/>
  <c r="I119" i="15"/>
  <c r="M119" i="15" s="1"/>
  <c r="N119" i="15"/>
  <c r="I127" i="15"/>
  <c r="M127" i="15" s="1"/>
  <c r="N127" i="15"/>
  <c r="I100" i="15"/>
  <c r="M100" i="15" s="1"/>
  <c r="N100" i="15"/>
  <c r="N110" i="15"/>
  <c r="I110" i="15"/>
  <c r="M110" i="15" s="1"/>
  <c r="N106" i="15"/>
  <c r="I106" i="15"/>
  <c r="M106" i="15" s="1"/>
  <c r="I111" i="15"/>
  <c r="M111" i="15" s="1"/>
  <c r="N111" i="15"/>
  <c r="I116" i="15"/>
  <c r="M116" i="15" s="1"/>
  <c r="N116" i="15"/>
  <c r="I112" i="15"/>
  <c r="M112" i="15" s="1"/>
  <c r="N112" i="15"/>
  <c r="N126" i="15"/>
  <c r="N122" i="15"/>
  <c r="I122" i="15"/>
  <c r="M122" i="15" s="1"/>
  <c r="I135" i="15"/>
  <c r="M135" i="15" s="1"/>
  <c r="N135" i="15"/>
  <c r="I137" i="15"/>
  <c r="M137" i="15" s="1"/>
  <c r="N137" i="15"/>
  <c r="I133" i="15"/>
  <c r="M133" i="15" s="1"/>
  <c r="N133" i="15"/>
  <c r="L46" i="16"/>
  <c r="T46" i="16" s="1"/>
  <c r="K46" i="16"/>
  <c r="S46" i="16" s="1"/>
  <c r="J46" i="16"/>
  <c r="R46" i="16" s="1"/>
  <c r="L38" i="16"/>
  <c r="T38" i="16" s="1"/>
  <c r="K38" i="16"/>
  <c r="S38" i="16" s="1"/>
  <c r="J38" i="16"/>
  <c r="R38" i="16" s="1"/>
  <c r="L43" i="16"/>
  <c r="T43" i="16" s="1"/>
  <c r="K43" i="16"/>
  <c r="S43" i="16" s="1"/>
  <c r="J43" i="16"/>
  <c r="R43" i="16" s="1"/>
  <c r="L48" i="16"/>
  <c r="T48" i="16" s="1"/>
  <c r="K48" i="16"/>
  <c r="S48" i="16" s="1"/>
  <c r="J48" i="16"/>
  <c r="R48" i="16" s="1"/>
  <c r="L53" i="16"/>
  <c r="T53" i="16" s="1"/>
  <c r="K53" i="16"/>
  <c r="S53" i="16" s="1"/>
  <c r="J53" i="16"/>
  <c r="R53" i="16" s="1"/>
  <c r="L80" i="11"/>
  <c r="M80" i="11" s="1"/>
  <c r="AC80" i="11" s="1"/>
  <c r="AB71" i="12"/>
  <c r="O71" i="12"/>
  <c r="AE71" i="12" s="1"/>
  <c r="J71" i="12"/>
  <c r="Z71" i="12" s="1"/>
  <c r="N71" i="12"/>
  <c r="AD71" i="12" s="1"/>
  <c r="M71" i="12"/>
  <c r="AC71" i="12" s="1"/>
  <c r="I71" i="12"/>
  <c r="Y71" i="12" s="1"/>
  <c r="AB73" i="12"/>
  <c r="P73" i="12"/>
  <c r="AF73" i="12" s="1"/>
  <c r="K73" i="12"/>
  <c r="AA73" i="12" s="1"/>
  <c r="O73" i="12"/>
  <c r="AE73" i="12" s="1"/>
  <c r="J73" i="12"/>
  <c r="Z73" i="12" s="1"/>
  <c r="Q39" i="13"/>
  <c r="I81" i="15"/>
  <c r="M81" i="15" s="1"/>
  <c r="N81" i="15"/>
  <c r="I77" i="15"/>
  <c r="M77" i="15" s="1"/>
  <c r="N77" i="15"/>
  <c r="I101" i="15"/>
  <c r="M101" i="15" s="1"/>
  <c r="N101" i="15"/>
  <c r="I97" i="15"/>
  <c r="M97" i="15" s="1"/>
  <c r="N97" i="15"/>
  <c r="L51" i="16"/>
  <c r="T51" i="16" s="1"/>
  <c r="K51" i="16"/>
  <c r="S51" i="16" s="1"/>
  <c r="J51" i="16"/>
  <c r="R51" i="16" s="1"/>
  <c r="L39" i="16"/>
  <c r="T39" i="16" s="1"/>
  <c r="K39" i="16"/>
  <c r="S39" i="16" s="1"/>
  <c r="J39" i="16"/>
  <c r="R39" i="16" s="1"/>
  <c r="L54" i="16"/>
  <c r="T54" i="16" s="1"/>
  <c r="K54" i="16"/>
  <c r="S54" i="16" s="1"/>
  <c r="J54" i="16"/>
  <c r="R54" i="16" s="1"/>
  <c r="K42" i="11"/>
  <c r="K46" i="11"/>
  <c r="K50" i="11"/>
  <c r="Q50" i="11" s="1"/>
  <c r="K54" i="11"/>
  <c r="Q54" i="11" s="1"/>
  <c r="L14" i="18"/>
  <c r="V14" i="18" s="1"/>
  <c r="I73" i="12"/>
  <c r="Y73" i="12" s="1"/>
  <c r="K71" i="12"/>
  <c r="AA71" i="12" s="1"/>
  <c r="N23" i="13"/>
  <c r="N19" i="13"/>
  <c r="N15" i="13"/>
  <c r="M50" i="13"/>
  <c r="W50" i="13" s="1"/>
  <c r="N40" i="15"/>
  <c r="Q40" i="15" s="1"/>
  <c r="AI40" i="15" s="1"/>
  <c r="N36" i="15"/>
  <c r="Q36" i="15" s="1"/>
  <c r="AI36" i="15" s="1"/>
  <c r="J49" i="16"/>
  <c r="R49" i="16" s="1"/>
  <c r="J45" i="16"/>
  <c r="R45" i="16" s="1"/>
  <c r="J41" i="16"/>
  <c r="R41" i="16" s="1"/>
  <c r="J37" i="16"/>
  <c r="R37" i="16" s="1"/>
  <c r="K49" i="16"/>
  <c r="S49" i="16" s="1"/>
  <c r="K45" i="16"/>
  <c r="S45" i="16" s="1"/>
  <c r="K41" i="16"/>
  <c r="S41" i="16" s="1"/>
  <c r="K37" i="16"/>
  <c r="S37" i="16" s="1"/>
  <c r="L38" i="10"/>
  <c r="T38" i="10" s="1"/>
  <c r="K66" i="10"/>
  <c r="L66" i="10" s="1"/>
  <c r="T66" i="10" s="1"/>
  <c r="K54" i="10"/>
  <c r="S54" i="10" s="1"/>
  <c r="K64" i="10"/>
  <c r="K79" i="10"/>
  <c r="I79" i="10" s="1"/>
  <c r="Q79" i="10" s="1"/>
  <c r="K84" i="10"/>
  <c r="K18" i="11"/>
  <c r="K26" i="11"/>
  <c r="K34" i="11"/>
  <c r="S34" i="11" s="1"/>
  <c r="K17" i="11"/>
  <c r="S17" i="11" s="1"/>
  <c r="K33" i="11"/>
  <c r="J63" i="11"/>
  <c r="P63" i="11" s="1"/>
  <c r="L75" i="11"/>
  <c r="N75" i="11" s="1"/>
  <c r="AD75" i="11" s="1"/>
  <c r="L69" i="12"/>
  <c r="I11" i="13"/>
  <c r="M11" i="13" s="1"/>
  <c r="Q38" i="13"/>
  <c r="L50" i="13"/>
  <c r="V50" i="13" s="1"/>
  <c r="O21" i="15"/>
  <c r="P21" i="15" s="1"/>
  <c r="AH21" i="15" s="1"/>
  <c r="O12" i="15"/>
  <c r="O16" i="15"/>
  <c r="AG16" i="15" s="1"/>
  <c r="O20" i="15"/>
  <c r="Q20" i="15" s="1"/>
  <c r="AI20" i="15" s="1"/>
  <c r="O24" i="15"/>
  <c r="I24" i="15" s="1"/>
  <c r="AA24" i="15" s="1"/>
  <c r="O28" i="15"/>
  <c r="J28" i="15" s="1"/>
  <c r="AB28" i="15" s="1"/>
  <c r="N27" i="15"/>
  <c r="AF27" i="15" s="1"/>
  <c r="N41" i="15"/>
  <c r="I41" i="15" s="1"/>
  <c r="AA41" i="15" s="1"/>
  <c r="N37" i="15"/>
  <c r="Q37" i="15" s="1"/>
  <c r="AI37" i="15" s="1"/>
  <c r="N50" i="15"/>
  <c r="N46" i="15"/>
  <c r="AF46" i="15" s="1"/>
  <c r="M24" i="16"/>
  <c r="W24" i="16" s="1"/>
  <c r="M21" i="16"/>
  <c r="W21" i="16" s="1"/>
  <c r="R36" i="16"/>
  <c r="I52" i="12"/>
  <c r="J52" i="12" s="1"/>
  <c r="N52" i="12" s="1"/>
  <c r="N25" i="13"/>
  <c r="Q34" i="13"/>
  <c r="K50" i="13"/>
  <c r="U50" i="13" s="1"/>
  <c r="T50" i="13"/>
  <c r="N11" i="14"/>
  <c r="K27" i="15"/>
  <c r="AC27" i="15" s="1"/>
  <c r="N34" i="15"/>
  <c r="AF34" i="15" s="1"/>
  <c r="O13" i="15"/>
  <c r="J13" i="15" s="1"/>
  <c r="AB13" i="15" s="1"/>
  <c r="O17" i="15"/>
  <c r="I17" i="15" s="1"/>
  <c r="AA17" i="15" s="1"/>
  <c r="O25" i="15"/>
  <c r="O22" i="15"/>
  <c r="K15" i="15"/>
  <c r="AC15" i="15" s="1"/>
  <c r="N44" i="15"/>
  <c r="Q44" i="15" s="1"/>
  <c r="AI44" i="15" s="1"/>
  <c r="S56" i="16"/>
  <c r="Q36" i="16"/>
  <c r="K36" i="16"/>
  <c r="S36" i="16" s="1"/>
  <c r="I11" i="16"/>
  <c r="S11" i="16" s="1"/>
  <c r="L11" i="16"/>
  <c r="V11" i="16" s="1"/>
  <c r="J11" i="16"/>
  <c r="K11" i="16"/>
  <c r="U11" i="16" s="1"/>
  <c r="M12" i="16"/>
  <c r="M13" i="16"/>
  <c r="K13" i="16" s="1"/>
  <c r="U13" i="16" s="1"/>
  <c r="M14" i="16"/>
  <c r="W14" i="16" s="1"/>
  <c r="M15" i="16"/>
  <c r="L15" i="16" s="1"/>
  <c r="V15" i="16" s="1"/>
  <c r="M16" i="16"/>
  <c r="W16" i="16" s="1"/>
  <c r="M17" i="16"/>
  <c r="W17" i="16" s="1"/>
  <c r="M18" i="16"/>
  <c r="M20" i="16"/>
  <c r="L21" i="16"/>
  <c r="V21" i="16" s="1"/>
  <c r="K21" i="16"/>
  <c r="U21" i="16" s="1"/>
  <c r="M22" i="16"/>
  <c r="J22" i="16" s="1"/>
  <c r="T22" i="16" s="1"/>
  <c r="M23" i="16"/>
  <c r="W23" i="16" s="1"/>
  <c r="M25" i="16"/>
  <c r="W25" i="16" s="1"/>
  <c r="M26" i="16"/>
  <c r="W26" i="16" s="1"/>
  <c r="M27" i="16"/>
  <c r="M28" i="16"/>
  <c r="I28" i="16" s="1"/>
  <c r="S28" i="16" s="1"/>
  <c r="M30" i="16"/>
  <c r="K30" i="16"/>
  <c r="U30" i="16" s="1"/>
  <c r="L29" i="16"/>
  <c r="V29" i="16" s="1"/>
  <c r="K29" i="16"/>
  <c r="U29" i="16" s="1"/>
  <c r="I29" i="16"/>
  <c r="S29" i="16" s="1"/>
  <c r="K27" i="16"/>
  <c r="U27" i="16" s="1"/>
  <c r="J26" i="16"/>
  <c r="T26" i="16" s="1"/>
  <c r="L26" i="16"/>
  <c r="V26" i="16" s="1"/>
  <c r="K25" i="16"/>
  <c r="U25" i="16" s="1"/>
  <c r="K24" i="16"/>
  <c r="U24" i="16" s="1"/>
  <c r="L24" i="16"/>
  <c r="V24" i="16" s="1"/>
  <c r="K23" i="16"/>
  <c r="U23" i="16" s="1"/>
  <c r="J20" i="16"/>
  <c r="T20" i="16" s="1"/>
  <c r="L19" i="16"/>
  <c r="V19" i="16" s="1"/>
  <c r="K19" i="16"/>
  <c r="U19" i="16" s="1"/>
  <c r="I19" i="16"/>
  <c r="S19" i="16" s="1"/>
  <c r="J18" i="16"/>
  <c r="T18" i="16" s="1"/>
  <c r="K18" i="16"/>
  <c r="U18" i="16" s="1"/>
  <c r="I18" i="16"/>
  <c r="S18" i="16" s="1"/>
  <c r="I17" i="16"/>
  <c r="S17" i="16" s="1"/>
  <c r="I16" i="16"/>
  <c r="S16" i="16" s="1"/>
  <c r="L14" i="16"/>
  <c r="V14" i="16" s="1"/>
  <c r="J14" i="16"/>
  <c r="T14" i="16" s="1"/>
  <c r="K14" i="16"/>
  <c r="U14" i="16" s="1"/>
  <c r="I14" i="16"/>
  <c r="S14" i="16" s="1"/>
  <c r="J29" i="16"/>
  <c r="T29" i="16" s="1"/>
  <c r="J21" i="16"/>
  <c r="T21" i="16" s="1"/>
  <c r="J19" i="16"/>
  <c r="T19" i="16" s="1"/>
  <c r="J17" i="16"/>
  <c r="T17" i="16" s="1"/>
  <c r="W11" i="16"/>
  <c r="T11" i="16"/>
  <c r="M12" i="15"/>
  <c r="AE12" i="15" s="1"/>
  <c r="Q24" i="15"/>
  <c r="AI24" i="15" s="1"/>
  <c r="N24" i="15"/>
  <c r="AF24" i="15" s="1"/>
  <c r="AG24" i="15"/>
  <c r="M24" i="15"/>
  <c r="AE24" i="15" s="1"/>
  <c r="K24" i="15"/>
  <c r="AC24" i="15" s="1"/>
  <c r="J24" i="15"/>
  <c r="AB24" i="15" s="1"/>
  <c r="P24" i="15"/>
  <c r="AH24" i="15" s="1"/>
  <c r="L24" i="15"/>
  <c r="AD24" i="15" s="1"/>
  <c r="M20" i="15"/>
  <c r="AE20" i="15" s="1"/>
  <c r="AG20" i="15"/>
  <c r="K20" i="15"/>
  <c r="AC20" i="15" s="1"/>
  <c r="N16" i="15"/>
  <c r="AF16" i="15" s="1"/>
  <c r="M16" i="15"/>
  <c r="AE16" i="15" s="1"/>
  <c r="N28" i="15"/>
  <c r="AF28" i="15" s="1"/>
  <c r="L28" i="15"/>
  <c r="AD28" i="15" s="1"/>
  <c r="AG13" i="15"/>
  <c r="M25" i="15"/>
  <c r="AE25" i="15" s="1"/>
  <c r="AG25" i="15"/>
  <c r="K25" i="15"/>
  <c r="AC25" i="15" s="1"/>
  <c r="N18" i="15"/>
  <c r="AF18" i="15" s="1"/>
  <c r="K18" i="15"/>
  <c r="AC18" i="15" s="1"/>
  <c r="P18" i="15"/>
  <c r="AH18" i="15" s="1"/>
  <c r="N26" i="15"/>
  <c r="AF26" i="15" s="1"/>
  <c r="K26" i="15"/>
  <c r="AC26" i="15" s="1"/>
  <c r="I26" i="15"/>
  <c r="AA26" i="15" s="1"/>
  <c r="P26" i="15"/>
  <c r="AH26" i="15" s="1"/>
  <c r="L26" i="15"/>
  <c r="AD26" i="15" s="1"/>
  <c r="P23" i="15"/>
  <c r="AH23" i="15" s="1"/>
  <c r="L23" i="15"/>
  <c r="AD23" i="15" s="1"/>
  <c r="Q23" i="15"/>
  <c r="AI23" i="15" s="1"/>
  <c r="O37" i="15"/>
  <c r="AG37" i="15" s="1"/>
  <c r="P37" i="15"/>
  <c r="AH37" i="15" s="1"/>
  <c r="J37" i="15"/>
  <c r="AB37" i="15" s="1"/>
  <c r="I37" i="15"/>
  <c r="AA37" i="15" s="1"/>
  <c r="AF37" i="15"/>
  <c r="M37" i="15"/>
  <c r="AE37" i="15" s="1"/>
  <c r="L37" i="15"/>
  <c r="AD37" i="15" s="1"/>
  <c r="K37" i="15"/>
  <c r="AC37" i="15" s="1"/>
  <c r="M50" i="15"/>
  <c r="AE50" i="15" s="1"/>
  <c r="O50" i="15"/>
  <c r="AG50" i="15" s="1"/>
  <c r="J46" i="15"/>
  <c r="AB46" i="15" s="1"/>
  <c r="O46" i="15"/>
  <c r="AG46" i="15" s="1"/>
  <c r="J40" i="15"/>
  <c r="AB40" i="15" s="1"/>
  <c r="L36" i="15"/>
  <c r="AD36" i="15" s="1"/>
  <c r="O36" i="15"/>
  <c r="AG36" i="15" s="1"/>
  <c r="P36" i="15"/>
  <c r="AH36" i="15" s="1"/>
  <c r="J36" i="15"/>
  <c r="AB36" i="15" s="1"/>
  <c r="AF41" i="15"/>
  <c r="O11" i="15"/>
  <c r="L21" i="15"/>
  <c r="AD21" i="15" s="1"/>
  <c r="N21" i="15"/>
  <c r="AF21" i="15" s="1"/>
  <c r="AG23" i="15"/>
  <c r="AF50" i="15"/>
  <c r="I50" i="15"/>
  <c r="AA50" i="15" s="1"/>
  <c r="M41" i="15"/>
  <c r="AE41" i="15" s="1"/>
  <c r="K14" i="15"/>
  <c r="AC14" i="15" s="1"/>
  <c r="P14" i="15"/>
  <c r="AH14" i="15" s="1"/>
  <c r="L14" i="15"/>
  <c r="AD14" i="15" s="1"/>
  <c r="K22" i="15"/>
  <c r="AC22" i="15" s="1"/>
  <c r="P15" i="15"/>
  <c r="AH15" i="15" s="1"/>
  <c r="L15" i="15"/>
  <c r="AD15" i="15" s="1"/>
  <c r="I15" i="15"/>
  <c r="AA15" i="15" s="1"/>
  <c r="Q15" i="15"/>
  <c r="AI15" i="15" s="1"/>
  <c r="J14" i="15"/>
  <c r="AB14" i="15" s="1"/>
  <c r="N25" i="15"/>
  <c r="AF25" i="15" s="1"/>
  <c r="Q25" i="15"/>
  <c r="AI25" i="15" s="1"/>
  <c r="AG26" i="15"/>
  <c r="J25" i="15"/>
  <c r="AB25" i="15" s="1"/>
  <c r="J15" i="15"/>
  <c r="AB15" i="15" s="1"/>
  <c r="L25" i="15"/>
  <c r="AD25" i="15" s="1"/>
  <c r="P25" i="15"/>
  <c r="AH25" i="15" s="1"/>
  <c r="Q26" i="15"/>
  <c r="AI26" i="15" s="1"/>
  <c r="N42" i="15"/>
  <c r="Q42" i="15" s="1"/>
  <c r="AI42" i="15" s="1"/>
  <c r="N38" i="15"/>
  <c r="Q38" i="15" s="1"/>
  <c r="AI38" i="15" s="1"/>
  <c r="N51" i="15"/>
  <c r="N47" i="15"/>
  <c r="Q47" i="15" s="1"/>
  <c r="AI47" i="15" s="1"/>
  <c r="P34" i="15"/>
  <c r="AH34" i="15" s="1"/>
  <c r="M21" i="15"/>
  <c r="AE21" i="15" s="1"/>
  <c r="AG21" i="15"/>
  <c r="K21" i="15"/>
  <c r="AC21" i="15" s="1"/>
  <c r="J21" i="15"/>
  <c r="AB21" i="15" s="1"/>
  <c r="P27" i="15"/>
  <c r="AH27" i="15" s="1"/>
  <c r="L27" i="15"/>
  <c r="AD27" i="15" s="1"/>
  <c r="Q27" i="15"/>
  <c r="AI27" i="15" s="1"/>
  <c r="M27" i="15"/>
  <c r="AE27" i="15" s="1"/>
  <c r="J27" i="15"/>
  <c r="AB27" i="15" s="1"/>
  <c r="P19" i="15"/>
  <c r="AH19" i="15" s="1"/>
  <c r="N19" i="15"/>
  <c r="AF19" i="15" s="1"/>
  <c r="L19" i="15"/>
  <c r="AD19" i="15" s="1"/>
  <c r="Q19" i="15"/>
  <c r="AI19" i="15" s="1"/>
  <c r="M19" i="15"/>
  <c r="AE19" i="15" s="1"/>
  <c r="I19" i="15"/>
  <c r="AA19" i="15" s="1"/>
  <c r="L44" i="15"/>
  <c r="AD44" i="15" s="1"/>
  <c r="O44" i="15"/>
  <c r="AG44" i="15" s="1"/>
  <c r="P44" i="15"/>
  <c r="AH44" i="15" s="1"/>
  <c r="M15" i="15"/>
  <c r="AE15" i="15" s="1"/>
  <c r="Q21" i="15"/>
  <c r="AI21" i="15" s="1"/>
  <c r="AG22" i="15"/>
  <c r="N43" i="15"/>
  <c r="AF43" i="15" s="1"/>
  <c r="N39" i="15"/>
  <c r="Q39" i="15" s="1"/>
  <c r="AI39" i="15" s="1"/>
  <c r="N35" i="15"/>
  <c r="Q35" i="15" s="1"/>
  <c r="AI35" i="15" s="1"/>
  <c r="J48" i="15"/>
  <c r="AB48" i="15" s="1"/>
  <c r="AF45" i="15"/>
  <c r="J49" i="15"/>
  <c r="AB49" i="15" s="1"/>
  <c r="J45" i="15"/>
  <c r="AB45" i="15" s="1"/>
  <c r="P48" i="15"/>
  <c r="AH48" i="15" s="1"/>
  <c r="M45" i="15"/>
  <c r="AE45" i="15" s="1"/>
  <c r="O48" i="15"/>
  <c r="AG48" i="15" s="1"/>
  <c r="P45" i="15"/>
  <c r="AH45" i="15" s="1"/>
  <c r="K48" i="15"/>
  <c r="AC48" i="15" s="1"/>
  <c r="K44" i="15"/>
  <c r="AC44" i="15" s="1"/>
  <c r="K36" i="15"/>
  <c r="AC36" i="15" s="1"/>
  <c r="J44" i="15"/>
  <c r="AB44" i="15" s="1"/>
  <c r="AF51" i="15"/>
  <c r="AF35" i="15"/>
  <c r="I48" i="15"/>
  <c r="AA48" i="15" s="1"/>
  <c r="I44" i="15"/>
  <c r="AA44" i="15" s="1"/>
  <c r="I36" i="15"/>
  <c r="AA36" i="15" s="1"/>
  <c r="L39" i="15"/>
  <c r="AD39" i="15" s="1"/>
  <c r="L35" i="15"/>
  <c r="AD35" i="15" s="1"/>
  <c r="M48" i="15"/>
  <c r="AE48" i="15" s="1"/>
  <c r="M36" i="15"/>
  <c r="AE36" i="15" s="1"/>
  <c r="AF48" i="15"/>
  <c r="AF44" i="15"/>
  <c r="AF36" i="15"/>
  <c r="K34" i="15"/>
  <c r="AC34" i="15" s="1"/>
  <c r="M26" i="15"/>
  <c r="AE26" i="15" s="1"/>
  <c r="M18" i="15"/>
  <c r="AE18" i="15" s="1"/>
  <c r="M14" i="15"/>
  <c r="AE14" i="15" s="1"/>
  <c r="I25" i="15"/>
  <c r="AA25" i="15" s="1"/>
  <c r="I21" i="15"/>
  <c r="AA21" i="15" s="1"/>
  <c r="J26" i="15"/>
  <c r="AB26" i="15" s="1"/>
  <c r="AG11" i="15"/>
  <c r="I11" i="15"/>
  <c r="AA11" i="15" s="1"/>
  <c r="Q11" i="15"/>
  <c r="AI11" i="15" s="1"/>
  <c r="I11" i="14"/>
  <c r="M11" i="14" s="1"/>
  <c r="I46" i="13"/>
  <c r="S46" i="13" s="1"/>
  <c r="M46" i="13"/>
  <c r="W46" i="13" s="1"/>
  <c r="L46" i="13"/>
  <c r="V46" i="13" s="1"/>
  <c r="K46" i="13"/>
  <c r="U46" i="13" s="1"/>
  <c r="O38" i="13"/>
  <c r="O34" i="13"/>
  <c r="Q37" i="13"/>
  <c r="Y70" i="9"/>
  <c r="K70" i="9"/>
  <c r="W70" i="9" s="1"/>
  <c r="J65" i="9"/>
  <c r="V65" i="9" s="1"/>
  <c r="Y65" i="9"/>
  <c r="K65" i="9"/>
  <c r="W65" i="9" s="1"/>
  <c r="N69" i="9"/>
  <c r="Z69" i="9" s="1"/>
  <c r="I69" i="9"/>
  <c r="U69" i="9" s="1"/>
  <c r="J69" i="9"/>
  <c r="V69" i="9" s="1"/>
  <c r="Y69" i="9"/>
  <c r="K69" i="9"/>
  <c r="W69" i="9" s="1"/>
  <c r="L69" i="9"/>
  <c r="X69" i="9" s="1"/>
  <c r="N73" i="9"/>
  <c r="Z73" i="9" s="1"/>
  <c r="J73" i="9"/>
  <c r="V73" i="9" s="1"/>
  <c r="I73" i="9"/>
  <c r="U73" i="9" s="1"/>
  <c r="K73" i="9"/>
  <c r="W73" i="9" s="1"/>
  <c r="L73" i="9"/>
  <c r="X73" i="9" s="1"/>
  <c r="Y73" i="9"/>
  <c r="K34" i="10"/>
  <c r="S34" i="10" s="1"/>
  <c r="T34" i="10"/>
  <c r="K29" i="10"/>
  <c r="S29" i="10" s="1"/>
  <c r="J29" i="10"/>
  <c r="R29" i="10" s="1"/>
  <c r="I29" i="10"/>
  <c r="Q29" i="10" s="1"/>
  <c r="T29" i="10"/>
  <c r="K23" i="10"/>
  <c r="S23" i="10" s="1"/>
  <c r="J23" i="10"/>
  <c r="R23" i="10" s="1"/>
  <c r="I23" i="10"/>
  <c r="Q23" i="10" s="1"/>
  <c r="T23" i="10"/>
  <c r="S68" i="10"/>
  <c r="I25" i="10"/>
  <c r="Q25" i="10" s="1"/>
  <c r="T20" i="10"/>
  <c r="K20" i="10"/>
  <c r="S20" i="10" s="1"/>
  <c r="I20" i="10"/>
  <c r="Q20" i="10" s="1"/>
  <c r="J21" i="10"/>
  <c r="R21" i="10" s="1"/>
  <c r="K22" i="10"/>
  <c r="S22" i="10" s="1"/>
  <c r="I22" i="10"/>
  <c r="Q22" i="10" s="1"/>
  <c r="T22" i="10"/>
  <c r="T28" i="10"/>
  <c r="J28" i="10"/>
  <c r="R28" i="10" s="1"/>
  <c r="J67" i="10"/>
  <c r="R67" i="10" s="1"/>
  <c r="S67" i="10"/>
  <c r="I67" i="10"/>
  <c r="Q67" i="10" s="1"/>
  <c r="L67" i="10"/>
  <c r="T67" i="10" s="1"/>
  <c r="I53" i="10"/>
  <c r="Q53" i="10" s="1"/>
  <c r="S53" i="10"/>
  <c r="S73" i="10"/>
  <c r="I73" i="10"/>
  <c r="Q73" i="10" s="1"/>
  <c r="S15" i="11"/>
  <c r="J15" i="11"/>
  <c r="R15" i="11" s="1"/>
  <c r="I15" i="11"/>
  <c r="Q15" i="11" s="1"/>
  <c r="L15" i="11"/>
  <c r="T15" i="11" s="1"/>
  <c r="S23" i="11"/>
  <c r="J23" i="11"/>
  <c r="R23" i="11" s="1"/>
  <c r="I23" i="11"/>
  <c r="Q23" i="11" s="1"/>
  <c r="S27" i="11"/>
  <c r="J27" i="11"/>
  <c r="R27" i="11" s="1"/>
  <c r="I27" i="11"/>
  <c r="Q27" i="11" s="1"/>
  <c r="L27" i="11"/>
  <c r="T27" i="11" s="1"/>
  <c r="L31" i="11"/>
  <c r="T31" i="11" s="1"/>
  <c r="Q48" i="11"/>
  <c r="I48" i="11"/>
  <c r="O48" i="11" s="1"/>
  <c r="J48" i="11"/>
  <c r="P48" i="11" s="1"/>
  <c r="J56" i="11"/>
  <c r="P56" i="11" s="1"/>
  <c r="I60" i="11"/>
  <c r="O60" i="11" s="1"/>
  <c r="Q60" i="11"/>
  <c r="J60" i="11"/>
  <c r="P60" i="11" s="1"/>
  <c r="Q64" i="11"/>
  <c r="J80" i="11"/>
  <c r="Z80" i="11" s="1"/>
  <c r="N80" i="11"/>
  <c r="AD80" i="11" s="1"/>
  <c r="K80" i="11"/>
  <c r="AA80" i="11" s="1"/>
  <c r="AB80" i="11"/>
  <c r="L16" i="9"/>
  <c r="T16" i="9" s="1"/>
  <c r="L26" i="9"/>
  <c r="Q36" i="9"/>
  <c r="J52" i="9"/>
  <c r="P52" i="9" s="1"/>
  <c r="Q43" i="9"/>
  <c r="I50" i="9"/>
  <c r="O50" i="9" s="1"/>
  <c r="L24" i="10"/>
  <c r="L26" i="10"/>
  <c r="L27" i="10"/>
  <c r="J20" i="10"/>
  <c r="R20" i="10" s="1"/>
  <c r="K25" i="10"/>
  <c r="S25" i="10" s="1"/>
  <c r="J85" i="10"/>
  <c r="R85" i="10" s="1"/>
  <c r="I66" i="9"/>
  <c r="U66" i="9" s="1"/>
  <c r="Y66" i="9"/>
  <c r="K66" i="9"/>
  <c r="W66" i="9" s="1"/>
  <c r="J15" i="10"/>
  <c r="R15" i="10" s="1"/>
  <c r="T15" i="10"/>
  <c r="K15" i="10"/>
  <c r="S15" i="10" s="1"/>
  <c r="J19" i="10"/>
  <c r="R19" i="10" s="1"/>
  <c r="T19" i="10"/>
  <c r="I66" i="10"/>
  <c r="Q66" i="10" s="1"/>
  <c r="S66" i="10"/>
  <c r="I54" i="10"/>
  <c r="Q54" i="10" s="1"/>
  <c r="L54" i="10"/>
  <c r="T54" i="10" s="1"/>
  <c r="J54" i="10"/>
  <c r="R54" i="10" s="1"/>
  <c r="S64" i="10"/>
  <c r="L64" i="10"/>
  <c r="T64" i="10" s="1"/>
  <c r="J64" i="10"/>
  <c r="R64" i="10" s="1"/>
  <c r="I64" i="10"/>
  <c r="Q64" i="10" s="1"/>
  <c r="S79" i="10"/>
  <c r="L79" i="10"/>
  <c r="T79" i="10" s="1"/>
  <c r="S84" i="10"/>
  <c r="I84" i="10"/>
  <c r="Q84" i="10" s="1"/>
  <c r="J84" i="10"/>
  <c r="R84" i="10" s="1"/>
  <c r="L84" i="10"/>
  <c r="T84" i="10" s="1"/>
  <c r="S85" i="10"/>
  <c r="L85" i="10"/>
  <c r="T85" i="10" s="1"/>
  <c r="I74" i="10"/>
  <c r="Q74" i="10" s="1"/>
  <c r="L74" i="10"/>
  <c r="T74" i="10" s="1"/>
  <c r="J74" i="10"/>
  <c r="R74" i="10" s="1"/>
  <c r="S74" i="10"/>
  <c r="I18" i="11"/>
  <c r="Q18" i="11" s="1"/>
  <c r="I22" i="11"/>
  <c r="Q22" i="11" s="1"/>
  <c r="S22" i="11"/>
  <c r="L22" i="11"/>
  <c r="T22" i="11" s="1"/>
  <c r="J22" i="11"/>
  <c r="R22" i="11" s="1"/>
  <c r="L17" i="11"/>
  <c r="T17" i="11" s="1"/>
  <c r="J17" i="11"/>
  <c r="R17" i="11" s="1"/>
  <c r="I17" i="11"/>
  <c r="Q17" i="11" s="1"/>
  <c r="L33" i="11"/>
  <c r="T33" i="11" s="1"/>
  <c r="M75" i="11"/>
  <c r="AC75" i="11" s="1"/>
  <c r="I75" i="11"/>
  <c r="Y75" i="11" s="1"/>
  <c r="J75" i="11"/>
  <c r="Z75" i="11" s="1"/>
  <c r="K75" i="11"/>
  <c r="AA75" i="11" s="1"/>
  <c r="Q39" i="9"/>
  <c r="I47" i="9"/>
  <c r="O47" i="9" s="1"/>
  <c r="L14" i="10"/>
  <c r="L17" i="10"/>
  <c r="I19" i="10"/>
  <c r="Q19" i="10" s="1"/>
  <c r="J66" i="10"/>
  <c r="R66" i="10" s="1"/>
  <c r="L52" i="10"/>
  <c r="J59" i="10"/>
  <c r="R59" i="10" s="1"/>
  <c r="L59" i="10"/>
  <c r="T59" i="10" s="1"/>
  <c r="S59" i="10"/>
  <c r="I59" i="10"/>
  <c r="Q59" i="10" s="1"/>
  <c r="J55" i="10"/>
  <c r="R55" i="10" s="1"/>
  <c r="S55" i="10"/>
  <c r="I55" i="10"/>
  <c r="Q55" i="10" s="1"/>
  <c r="I70" i="10"/>
  <c r="Q70" i="10" s="1"/>
  <c r="L70" i="10"/>
  <c r="T70" i="10" s="1"/>
  <c r="J70" i="10"/>
  <c r="R70" i="10" s="1"/>
  <c r="S70" i="10"/>
  <c r="I71" i="10"/>
  <c r="Q71" i="10" s="1"/>
  <c r="S81" i="10"/>
  <c r="L81" i="10"/>
  <c r="T81" i="10" s="1"/>
  <c r="J81" i="10"/>
  <c r="R81" i="10" s="1"/>
  <c r="I81" i="10"/>
  <c r="Q81" i="10" s="1"/>
  <c r="I58" i="10"/>
  <c r="Q58" i="10" s="1"/>
  <c r="L58" i="10"/>
  <c r="T58" i="10" s="1"/>
  <c r="J58" i="10"/>
  <c r="R58" i="10" s="1"/>
  <c r="S58" i="10"/>
  <c r="L29" i="11"/>
  <c r="T29" i="11" s="1"/>
  <c r="S29" i="11"/>
  <c r="J29" i="11"/>
  <c r="R29" i="11" s="1"/>
  <c r="I29" i="11"/>
  <c r="Q29" i="11" s="1"/>
  <c r="J42" i="11"/>
  <c r="P42" i="11" s="1"/>
  <c r="Q42" i="11"/>
  <c r="I42" i="11"/>
  <c r="O42" i="11" s="1"/>
  <c r="Q46" i="11"/>
  <c r="I58" i="11"/>
  <c r="O58" i="11" s="1"/>
  <c r="Q58" i="11"/>
  <c r="K11" i="18"/>
  <c r="L11" i="18"/>
  <c r="J11" i="18"/>
  <c r="T11" i="18" s="1"/>
  <c r="I44" i="9"/>
  <c r="O44" i="9" s="1"/>
  <c r="L66" i="9"/>
  <c r="X66" i="9" s="1"/>
  <c r="L44" i="10"/>
  <c r="L55" i="10"/>
  <c r="T55" i="10" s="1"/>
  <c r="K43" i="10"/>
  <c r="S43" i="10" s="1"/>
  <c r="K30" i="10"/>
  <c r="S30" i="10" s="1"/>
  <c r="T30" i="10"/>
  <c r="T31" i="10"/>
  <c r="K32" i="10"/>
  <c r="S32" i="10" s="1"/>
  <c r="J32" i="10"/>
  <c r="R32" i="10" s="1"/>
  <c r="I32" i="10"/>
  <c r="Q32" i="10" s="1"/>
  <c r="T32" i="10"/>
  <c r="J37" i="10"/>
  <c r="R37" i="10" s="1"/>
  <c r="K37" i="10"/>
  <c r="S37" i="10" s="1"/>
  <c r="S60" i="10"/>
  <c r="L60" i="10"/>
  <c r="T60" i="10" s="1"/>
  <c r="J60" i="10"/>
  <c r="R60" i="10" s="1"/>
  <c r="I60" i="10"/>
  <c r="Q60" i="10" s="1"/>
  <c r="S62" i="10"/>
  <c r="L62" i="10"/>
  <c r="T62" i="10" s="1"/>
  <c r="J62" i="10"/>
  <c r="R62" i="10" s="1"/>
  <c r="S63" i="10"/>
  <c r="I63" i="10"/>
  <c r="Q63" i="10" s="1"/>
  <c r="I14" i="18"/>
  <c r="S14" i="18" s="1"/>
  <c r="U14" i="18"/>
  <c r="M77" i="11"/>
  <c r="AC77" i="11" s="1"/>
  <c r="K77" i="11"/>
  <c r="AA77" i="11" s="1"/>
  <c r="N77" i="11"/>
  <c r="AD77" i="11" s="1"/>
  <c r="I77" i="11"/>
  <c r="Y77" i="11" s="1"/>
  <c r="J77" i="11"/>
  <c r="Z77" i="11" s="1"/>
  <c r="P77" i="11"/>
  <c r="AF77" i="11" s="1"/>
  <c r="AB77" i="11"/>
  <c r="M81" i="11"/>
  <c r="AC81" i="11" s="1"/>
  <c r="K81" i="11"/>
  <c r="AA81" i="11" s="1"/>
  <c r="N81" i="11"/>
  <c r="AD81" i="11" s="1"/>
  <c r="P81" i="11"/>
  <c r="AF81" i="11" s="1"/>
  <c r="AB81" i="11"/>
  <c r="I81" i="11"/>
  <c r="Y81" i="11" s="1"/>
  <c r="J81" i="11"/>
  <c r="Z81" i="11" s="1"/>
  <c r="J40" i="9"/>
  <c r="P40" i="9" s="1"/>
  <c r="M64" i="9"/>
  <c r="M68" i="9"/>
  <c r="M72" i="9"/>
  <c r="L33" i="10"/>
  <c r="L35" i="10"/>
  <c r="L36" i="10"/>
  <c r="T43" i="10"/>
  <c r="K19" i="10"/>
  <c r="S19" i="10" s="1"/>
  <c r="K56" i="10"/>
  <c r="K72" i="10"/>
  <c r="J79" i="10"/>
  <c r="R79" i="10" s="1"/>
  <c r="J11" i="11"/>
  <c r="R11" i="11" s="1"/>
  <c r="S11" i="11"/>
  <c r="S19" i="11"/>
  <c r="J19" i="11"/>
  <c r="R19" i="11" s="1"/>
  <c r="M79" i="11"/>
  <c r="AC79" i="11" s="1"/>
  <c r="I79" i="11"/>
  <c r="Y79" i="11" s="1"/>
  <c r="J16" i="11"/>
  <c r="R16" i="11" s="1"/>
  <c r="I28" i="11"/>
  <c r="Q28" i="11" s="1"/>
  <c r="L30" i="11"/>
  <c r="T30" i="11" s="1"/>
  <c r="L24" i="11"/>
  <c r="T24" i="11" s="1"/>
  <c r="L19" i="11"/>
  <c r="T19" i="11" s="1"/>
  <c r="L14" i="11"/>
  <c r="T14" i="11" s="1"/>
  <c r="S30" i="11"/>
  <c r="S25" i="11"/>
  <c r="S20" i="11"/>
  <c r="S14" i="11"/>
  <c r="K79" i="11"/>
  <c r="AA79" i="11" s="1"/>
  <c r="J79" i="11"/>
  <c r="Z79" i="11" s="1"/>
  <c r="J87" i="10"/>
  <c r="R87" i="10" s="1"/>
  <c r="I87" i="10"/>
  <c r="Q87" i="10" s="1"/>
  <c r="I59" i="11"/>
  <c r="O59" i="11" s="1"/>
  <c r="Q59" i="11"/>
  <c r="J69" i="12"/>
  <c r="Z69" i="12" s="1"/>
  <c r="O69" i="12"/>
  <c r="AE69" i="12" s="1"/>
  <c r="K78" i="10"/>
  <c r="I69" i="10"/>
  <c r="Q69" i="10" s="1"/>
  <c r="S87" i="10"/>
  <c r="I11" i="11"/>
  <c r="Q11" i="11" s="1"/>
  <c r="J28" i="11"/>
  <c r="R28" i="11" s="1"/>
  <c r="J12" i="11"/>
  <c r="R12" i="11" s="1"/>
  <c r="I24" i="11"/>
  <c r="Q24" i="11" s="1"/>
  <c r="I19" i="11"/>
  <c r="Q19" i="11" s="1"/>
  <c r="L20" i="11"/>
  <c r="T20" i="11" s="1"/>
  <c r="S32" i="11"/>
  <c r="S16" i="11"/>
  <c r="K43" i="11"/>
  <c r="K47" i="11"/>
  <c r="J47" i="11" s="1"/>
  <c r="P47" i="11" s="1"/>
  <c r="K51" i="11"/>
  <c r="K55" i="11"/>
  <c r="J59" i="11"/>
  <c r="P59" i="11" s="1"/>
  <c r="N79" i="11"/>
  <c r="AD79" i="11" s="1"/>
  <c r="N74" i="11"/>
  <c r="AD74" i="11" s="1"/>
  <c r="J83" i="10"/>
  <c r="R83" i="10" s="1"/>
  <c r="I83" i="10"/>
  <c r="Q83" i="10" s="1"/>
  <c r="S77" i="10"/>
  <c r="L77" i="10"/>
  <c r="T77" i="10" s="1"/>
  <c r="J77" i="10"/>
  <c r="R77" i="10" s="1"/>
  <c r="J76" i="11"/>
  <c r="Z76" i="11" s="1"/>
  <c r="M76" i="11"/>
  <c r="AC76" i="11" s="1"/>
  <c r="P76" i="11"/>
  <c r="AF76" i="11" s="1"/>
  <c r="J69" i="10"/>
  <c r="R69" i="10" s="1"/>
  <c r="I77" i="10"/>
  <c r="Q77" i="10" s="1"/>
  <c r="S83" i="10"/>
  <c r="J24" i="11"/>
  <c r="R24" i="11" s="1"/>
  <c r="I25" i="11"/>
  <c r="Q25" i="11" s="1"/>
  <c r="I20" i="11"/>
  <c r="Q20" i="11" s="1"/>
  <c r="L16" i="11"/>
  <c r="T16" i="11" s="1"/>
  <c r="L11" i="11"/>
  <c r="S28" i="11"/>
  <c r="S12" i="11"/>
  <c r="P79" i="11"/>
  <c r="AF79" i="11" s="1"/>
  <c r="K76" i="11"/>
  <c r="AA76" i="11" s="1"/>
  <c r="K20" i="12"/>
  <c r="I65" i="11"/>
  <c r="O65" i="11" s="1"/>
  <c r="Q65" i="11"/>
  <c r="O74" i="11"/>
  <c r="AE74" i="11" s="1"/>
  <c r="AB74" i="11"/>
  <c r="L41" i="10"/>
  <c r="L45" i="10"/>
  <c r="L13" i="10"/>
  <c r="T13" i="10" s="1"/>
  <c r="K76" i="10"/>
  <c r="K82" i="10"/>
  <c r="L87" i="10"/>
  <c r="T87" i="10" s="1"/>
  <c r="AF106" i="10"/>
  <c r="J30" i="11"/>
  <c r="R30" i="11" s="1"/>
  <c r="J25" i="11"/>
  <c r="R25" i="11" s="1"/>
  <c r="J14" i="11"/>
  <c r="R14" i="11" s="1"/>
  <c r="J61" i="11"/>
  <c r="P61" i="11" s="1"/>
  <c r="N76" i="11"/>
  <c r="AD76" i="11" s="1"/>
  <c r="K19" i="12"/>
  <c r="I54" i="12"/>
  <c r="I50" i="12"/>
  <c r="M50" i="12" s="1"/>
  <c r="P69" i="12"/>
  <c r="AF69" i="12" s="1"/>
  <c r="I69" i="12"/>
  <c r="Y69" i="12" s="1"/>
  <c r="K69" i="12"/>
  <c r="AA69" i="12" s="1"/>
  <c r="M69" i="12"/>
  <c r="AC69" i="12" s="1"/>
  <c r="K13" i="12"/>
  <c r="L13" i="12" s="1"/>
  <c r="T13" i="12" s="1"/>
  <c r="K15" i="12"/>
  <c r="J15" i="12" s="1"/>
  <c r="R15" i="12" s="1"/>
  <c r="K17" i="12"/>
  <c r="K21" i="12"/>
  <c r="J21" i="12" s="1"/>
  <c r="R21" i="12" s="1"/>
  <c r="K25" i="12"/>
  <c r="L25" i="12" s="1"/>
  <c r="T25" i="12" s="1"/>
  <c r="K26" i="12"/>
  <c r="K24" i="12"/>
  <c r="L24" i="12" s="1"/>
  <c r="T24" i="12" s="1"/>
  <c r="I32" i="12"/>
  <c r="M32" i="12" s="1"/>
  <c r="I48" i="12"/>
  <c r="J48" i="12" s="1"/>
  <c r="N48" i="12" s="1"/>
  <c r="I39" i="12"/>
  <c r="I37" i="12"/>
  <c r="J37" i="12" s="1"/>
  <c r="N37" i="12" s="1"/>
  <c r="I35" i="12"/>
  <c r="I33" i="12"/>
  <c r="M33" i="12" s="1"/>
  <c r="I46" i="12"/>
  <c r="M46" i="12" s="1"/>
  <c r="I44" i="12"/>
  <c r="J44" i="12" s="1"/>
  <c r="N44" i="12" s="1"/>
  <c r="I42" i="12"/>
  <c r="J42" i="12" s="1"/>
  <c r="N42" i="12" s="1"/>
  <c r="I55" i="12"/>
  <c r="J55" i="12" s="1"/>
  <c r="N55" i="12" s="1"/>
  <c r="I53" i="12"/>
  <c r="I51" i="12"/>
  <c r="M51" i="12" s="1"/>
  <c r="I49" i="12"/>
  <c r="J49" i="12" s="1"/>
  <c r="N49" i="12" s="1"/>
  <c r="I62" i="12"/>
  <c r="J62" i="12" s="1"/>
  <c r="N62" i="12" s="1"/>
  <c r="I60" i="12"/>
  <c r="J60" i="12" s="1"/>
  <c r="N60" i="12" s="1"/>
  <c r="I58" i="12"/>
  <c r="J58" i="12" s="1"/>
  <c r="N58" i="12" s="1"/>
  <c r="L12" i="12"/>
  <c r="T12" i="12" s="1"/>
  <c r="J12" i="12"/>
  <c r="R12" i="12" s="1"/>
  <c r="I12" i="12"/>
  <c r="Q12" i="12" s="1"/>
  <c r="S12" i="12"/>
  <c r="L14" i="12"/>
  <c r="T14" i="12" s="1"/>
  <c r="S14" i="12"/>
  <c r="L16" i="12"/>
  <c r="T16" i="12" s="1"/>
  <c r="J16" i="12"/>
  <c r="R16" i="12" s="1"/>
  <c r="I16" i="12"/>
  <c r="Q16" i="12" s="1"/>
  <c r="S16" i="12"/>
  <c r="L18" i="12"/>
  <c r="T18" i="12" s="1"/>
  <c r="I18" i="12"/>
  <c r="Q18" i="12" s="1"/>
  <c r="S18" i="12"/>
  <c r="J18" i="12"/>
  <c r="R18" i="12" s="1"/>
  <c r="S20" i="12"/>
  <c r="L22" i="12"/>
  <c r="T22" i="12" s="1"/>
  <c r="I22" i="12"/>
  <c r="Q22" i="12" s="1"/>
  <c r="S22" i="12"/>
  <c r="J22" i="12"/>
  <c r="R22" i="12" s="1"/>
  <c r="J41" i="12"/>
  <c r="N41" i="12" s="1"/>
  <c r="M41" i="12"/>
  <c r="J43" i="12"/>
  <c r="N43" i="12" s="1"/>
  <c r="M43" i="12"/>
  <c r="M45" i="12"/>
  <c r="J45" i="12"/>
  <c r="N45" i="12" s="1"/>
  <c r="J47" i="12"/>
  <c r="N47" i="12" s="1"/>
  <c r="J57" i="12"/>
  <c r="N57" i="12" s="1"/>
  <c r="M57" i="12"/>
  <c r="J59" i="12"/>
  <c r="N59" i="12" s="1"/>
  <c r="M59" i="12"/>
  <c r="M61" i="12"/>
  <c r="J61" i="12"/>
  <c r="N61" i="12" s="1"/>
  <c r="M63" i="12"/>
  <c r="J63" i="12"/>
  <c r="N63" i="12" s="1"/>
  <c r="J36" i="12"/>
  <c r="N36" i="12" s="1"/>
  <c r="M52" i="12"/>
  <c r="J50" i="12"/>
  <c r="N50" i="12" s="1"/>
  <c r="L11" i="12"/>
  <c r="T11" i="12" s="1"/>
  <c r="I11" i="12"/>
  <c r="Q11" i="12" s="1"/>
  <c r="S11" i="12"/>
  <c r="J13" i="12"/>
  <c r="R13" i="12" s="1"/>
  <c r="L21" i="12"/>
  <c r="T21" i="12" s="1"/>
  <c r="I21" i="12"/>
  <c r="Q21" i="12" s="1"/>
  <c r="J25" i="12"/>
  <c r="R25" i="12" s="1"/>
  <c r="S26" i="12"/>
  <c r="J24" i="12"/>
  <c r="R24" i="12" s="1"/>
  <c r="M48" i="12"/>
  <c r="J35" i="12"/>
  <c r="N35" i="12" s="1"/>
  <c r="M35" i="12"/>
  <c r="J33" i="12"/>
  <c r="N33" i="12" s="1"/>
  <c r="M55" i="12"/>
  <c r="M49" i="12"/>
  <c r="M62" i="12"/>
  <c r="K23" i="12"/>
  <c r="J23" i="12" s="1"/>
  <c r="R23" i="12" s="1"/>
  <c r="J11" i="12"/>
  <c r="R11" i="12" s="1"/>
  <c r="AB75" i="11"/>
  <c r="O81" i="11"/>
  <c r="AE81" i="11" s="1"/>
  <c r="O79" i="11"/>
  <c r="AE79" i="11" s="1"/>
  <c r="O77" i="11"/>
  <c r="AE77" i="11" s="1"/>
  <c r="O73" i="11"/>
  <c r="AE73" i="11" s="1"/>
  <c r="J73" i="11"/>
  <c r="Z73" i="11" s="1"/>
  <c r="N73" i="11"/>
  <c r="AD73" i="11" s="1"/>
  <c r="P73" i="11"/>
  <c r="AF73" i="11" s="1"/>
  <c r="AB73" i="11"/>
  <c r="I73" i="11"/>
  <c r="Y73" i="11" s="1"/>
  <c r="K73" i="11"/>
  <c r="AA73" i="11" s="1"/>
  <c r="M73" i="11"/>
  <c r="AC73" i="11" s="1"/>
  <c r="J57" i="11"/>
  <c r="P57" i="11" s="1"/>
  <c r="J43" i="11"/>
  <c r="P43" i="11" s="1"/>
  <c r="I67" i="11"/>
  <c r="O67" i="11" s="1"/>
  <c r="W12" i="18"/>
  <c r="L12" i="18"/>
  <c r="V12" i="18" s="1"/>
  <c r="K12" i="18"/>
  <c r="I12" i="18" s="1"/>
  <c r="S12" i="18" s="1"/>
  <c r="T12" i="18"/>
  <c r="W11" i="18"/>
  <c r="V11" i="18"/>
  <c r="I62" i="11"/>
  <c r="O62" i="11" s="1"/>
  <c r="J66" i="11"/>
  <c r="P66" i="11" s="1"/>
  <c r="J62" i="11"/>
  <c r="P62" i="11" s="1"/>
  <c r="J58" i="11"/>
  <c r="P58" i="11" s="1"/>
  <c r="J54" i="11"/>
  <c r="P54" i="11" s="1"/>
  <c r="J50" i="11"/>
  <c r="P50" i="11" s="1"/>
  <c r="I66" i="11"/>
  <c r="O66" i="11" s="1"/>
  <c r="I50" i="11"/>
  <c r="O50" i="11" s="1"/>
  <c r="I49" i="11"/>
  <c r="O49" i="11" s="1"/>
  <c r="T11" i="11"/>
  <c r="AF93" i="10"/>
  <c r="AD94" i="10"/>
  <c r="AI95" i="10"/>
  <c r="AF96" i="10"/>
  <c r="AF97" i="10"/>
  <c r="AH98" i="10"/>
  <c r="AC99" i="10"/>
  <c r="AB99" i="10"/>
  <c r="AA99" i="10"/>
  <c r="AE101" i="10"/>
  <c r="AA102" i="10"/>
  <c r="AE103" i="10"/>
  <c r="AA104" i="10"/>
  <c r="AB105" i="10"/>
  <c r="AC108" i="10"/>
  <c r="AI108" i="10"/>
  <c r="AA106" i="10"/>
  <c r="AH106" i="10"/>
  <c r="AC106" i="10"/>
  <c r="AB106" i="10"/>
  <c r="AG102" i="10"/>
  <c r="AD102" i="10"/>
  <c r="AH103" i="10"/>
  <c r="AB104" i="10"/>
  <c r="AB100" i="10"/>
  <c r="AD100" i="10"/>
  <c r="AA100" i="10"/>
  <c r="AG100" i="10"/>
  <c r="AC96" i="10"/>
  <c r="AH96" i="10"/>
  <c r="AG96" i="10"/>
  <c r="AE96" i="10"/>
  <c r="AI96" i="10"/>
  <c r="AD96" i="10"/>
  <c r="AE95" i="10"/>
  <c r="P93" i="10"/>
  <c r="AH93" i="10" s="1"/>
  <c r="T52" i="10"/>
  <c r="S52" i="10"/>
  <c r="J52" i="10"/>
  <c r="R52" i="10" s="1"/>
  <c r="K39" i="10"/>
  <c r="S39" i="10" s="1"/>
  <c r="T40" i="10"/>
  <c r="J40" i="10"/>
  <c r="R40" i="10" s="1"/>
  <c r="I40" i="10"/>
  <c r="Q40" i="10" s="1"/>
  <c r="K40" i="10"/>
  <c r="S40" i="10" s="1"/>
  <c r="K31" i="10"/>
  <c r="S31" i="10" s="1"/>
  <c r="I12" i="10"/>
  <c r="Q12" i="10" s="1"/>
  <c r="K12" i="10"/>
  <c r="S12" i="10" s="1"/>
  <c r="J12" i="10"/>
  <c r="R12" i="10" s="1"/>
  <c r="T12" i="10"/>
  <c r="I11" i="10"/>
  <c r="Q11" i="10" s="1"/>
  <c r="J11" i="10"/>
  <c r="R11" i="10" s="1"/>
  <c r="K11" i="10"/>
  <c r="S11" i="10" s="1"/>
  <c r="I39" i="10"/>
  <c r="Q39" i="10" s="1"/>
  <c r="J42" i="10"/>
  <c r="R42" i="10" s="1"/>
  <c r="J34" i="10"/>
  <c r="R34" i="10" s="1"/>
  <c r="J26" i="10"/>
  <c r="R26" i="10" s="1"/>
  <c r="J22" i="10"/>
  <c r="R22" i="10" s="1"/>
  <c r="K63" i="9"/>
  <c r="W63" i="9" s="1"/>
  <c r="J11" i="9"/>
  <c r="R11" i="9" s="1"/>
  <c r="K11" i="9"/>
  <c r="S11" i="9" s="1"/>
  <c r="T11" i="9"/>
  <c r="I11" i="9"/>
  <c r="Q11" i="9" s="1"/>
  <c r="Q53" i="9"/>
  <c r="I53" i="9"/>
  <c r="O53" i="9" s="1"/>
  <c r="J53" i="9"/>
  <c r="P53" i="9" s="1"/>
  <c r="I40" i="9"/>
  <c r="O40" i="9" s="1"/>
  <c r="K14" i="9"/>
  <c r="S14" i="9" s="1"/>
  <c r="T14" i="9"/>
  <c r="J14" i="9"/>
  <c r="R14" i="9" s="1"/>
  <c r="I14" i="9"/>
  <c r="Q14" i="9" s="1"/>
  <c r="K18" i="9"/>
  <c r="S18" i="9" s="1"/>
  <c r="T18" i="9"/>
  <c r="J18" i="9"/>
  <c r="R18" i="9" s="1"/>
  <c r="I18" i="9"/>
  <c r="Q18" i="9" s="1"/>
  <c r="K22" i="9"/>
  <c r="S22" i="9" s="1"/>
  <c r="T22" i="9"/>
  <c r="J22" i="9"/>
  <c r="R22" i="9" s="1"/>
  <c r="I22" i="9"/>
  <c r="Q22" i="9" s="1"/>
  <c r="K26" i="9"/>
  <c r="S26" i="9" s="1"/>
  <c r="Q56" i="9"/>
  <c r="J56" i="9"/>
  <c r="P56" i="9" s="1"/>
  <c r="I56" i="9"/>
  <c r="O56" i="9" s="1"/>
  <c r="Q49" i="9"/>
  <c r="I49" i="9"/>
  <c r="O49" i="9" s="1"/>
  <c r="J49" i="9"/>
  <c r="P49" i="9" s="1"/>
  <c r="J36" i="9"/>
  <c r="P36" i="9" s="1"/>
  <c r="I36" i="9"/>
  <c r="O36" i="9" s="1"/>
  <c r="I43" i="9"/>
  <c r="O43" i="9" s="1"/>
  <c r="J34" i="9"/>
  <c r="P34" i="9" s="1"/>
  <c r="I34" i="9"/>
  <c r="O34" i="9" s="1"/>
  <c r="Q34" i="9"/>
  <c r="Q50" i="9"/>
  <c r="J50" i="9"/>
  <c r="P50" i="9" s="1"/>
  <c r="T13" i="9"/>
  <c r="K13" i="9"/>
  <c r="S13" i="9" s="1"/>
  <c r="J13" i="9"/>
  <c r="R13" i="9" s="1"/>
  <c r="I13" i="9"/>
  <c r="Q13" i="9" s="1"/>
  <c r="T17" i="9"/>
  <c r="K17" i="9"/>
  <c r="S17" i="9" s="1"/>
  <c r="J17" i="9"/>
  <c r="R17" i="9" s="1"/>
  <c r="I17" i="9"/>
  <c r="Q17" i="9" s="1"/>
  <c r="I21" i="9"/>
  <c r="Q21" i="9" s="1"/>
  <c r="T25" i="9"/>
  <c r="J25" i="9"/>
  <c r="R25" i="9" s="1"/>
  <c r="J19" i="9"/>
  <c r="R19" i="9" s="1"/>
  <c r="I35" i="9"/>
  <c r="O35" i="9" s="1"/>
  <c r="J35" i="9"/>
  <c r="P35" i="9" s="1"/>
  <c r="Q35" i="9"/>
  <c r="I51" i="9"/>
  <c r="O51" i="9" s="1"/>
  <c r="J51" i="9"/>
  <c r="P51" i="9" s="1"/>
  <c r="Q51" i="9"/>
  <c r="I55" i="9"/>
  <c r="O55" i="9" s="1"/>
  <c r="J55" i="9"/>
  <c r="P55" i="9" s="1"/>
  <c r="Q55" i="9"/>
  <c r="I45" i="9"/>
  <c r="O45" i="9" s="1"/>
  <c r="J45" i="9"/>
  <c r="P45" i="9" s="1"/>
  <c r="Q41" i="9"/>
  <c r="I41" i="9"/>
  <c r="O41" i="9" s="1"/>
  <c r="J41" i="9"/>
  <c r="P41" i="9" s="1"/>
  <c r="Q48" i="9"/>
  <c r="J48" i="9"/>
  <c r="P48" i="9" s="1"/>
  <c r="I48" i="9"/>
  <c r="O48" i="9" s="1"/>
  <c r="I39" i="9"/>
  <c r="O39" i="9" s="1"/>
  <c r="J39" i="9"/>
  <c r="P39" i="9" s="1"/>
  <c r="J47" i="9"/>
  <c r="P47" i="9" s="1"/>
  <c r="Q47" i="9"/>
  <c r="J16" i="9"/>
  <c r="R16" i="9" s="1"/>
  <c r="I20" i="9"/>
  <c r="Q20" i="9" s="1"/>
  <c r="T20" i="9"/>
  <c r="K20" i="9"/>
  <c r="S20" i="9" s="1"/>
  <c r="J20" i="9"/>
  <c r="R20" i="9" s="1"/>
  <c r="I24" i="9"/>
  <c r="Q24" i="9" s="1"/>
  <c r="T24" i="9"/>
  <c r="K24" i="9"/>
  <c r="S24" i="9" s="1"/>
  <c r="J24" i="9"/>
  <c r="R24" i="9" s="1"/>
  <c r="K28" i="9"/>
  <c r="S28" i="9" s="1"/>
  <c r="J28" i="9"/>
  <c r="R28" i="9" s="1"/>
  <c r="Q37" i="9"/>
  <c r="I37" i="9"/>
  <c r="O37" i="9" s="1"/>
  <c r="J37" i="9"/>
  <c r="P37" i="9" s="1"/>
  <c r="Q57" i="9"/>
  <c r="I57" i="9"/>
  <c r="O57" i="9" s="1"/>
  <c r="J57" i="9"/>
  <c r="P57" i="9" s="1"/>
  <c r="Q44" i="9"/>
  <c r="J44" i="9"/>
  <c r="P44" i="9" s="1"/>
  <c r="K15" i="9"/>
  <c r="S15" i="9" s="1"/>
  <c r="J54" i="9"/>
  <c r="P54" i="9" s="1"/>
  <c r="J46" i="9"/>
  <c r="P46" i="9" s="1"/>
  <c r="J38" i="9"/>
  <c r="P38" i="9" s="1"/>
  <c r="Q54" i="9"/>
  <c r="Q46" i="9"/>
  <c r="Q38" i="9"/>
  <c r="I15" i="9"/>
  <c r="Q15" i="9" s="1"/>
  <c r="T15" i="9"/>
  <c r="E59" i="8"/>
  <c r="E58" i="8"/>
  <c r="I58" i="8" s="1"/>
  <c r="E52" i="8"/>
  <c r="E36" i="8"/>
  <c r="I36" i="8" s="1"/>
  <c r="E84" i="8"/>
  <c r="M84" i="8" s="1"/>
  <c r="E80" i="8"/>
  <c r="M80" i="8" s="1"/>
  <c r="E76" i="8"/>
  <c r="M76" i="8" s="1"/>
  <c r="E72" i="8"/>
  <c r="M72" i="8" s="1"/>
  <c r="E68" i="8"/>
  <c r="M68" i="8" s="1"/>
  <c r="E83" i="8"/>
  <c r="E79" i="8"/>
  <c r="E75" i="8"/>
  <c r="M75" i="8" s="1"/>
  <c r="E71" i="8"/>
  <c r="M71" i="8" s="1"/>
  <c r="E67" i="8"/>
  <c r="M67" i="8" s="1"/>
  <c r="E85" i="8"/>
  <c r="M85" i="8" s="1"/>
  <c r="E81" i="8"/>
  <c r="M81" i="8" s="1"/>
  <c r="E77" i="8"/>
  <c r="M77" i="8" s="1"/>
  <c r="E73" i="8"/>
  <c r="M73" i="8" s="1"/>
  <c r="E69" i="8"/>
  <c r="M69" i="8" s="1"/>
  <c r="E82" i="8"/>
  <c r="M82" i="8" s="1"/>
  <c r="E78" i="8"/>
  <c r="E74" i="8"/>
  <c r="M74" i="8" s="1"/>
  <c r="E70" i="8"/>
  <c r="M70" i="8" s="1"/>
  <c r="E66" i="8"/>
  <c r="M66" i="8" s="1"/>
  <c r="H79" i="8"/>
  <c r="H78" i="8"/>
  <c r="H26" i="8"/>
  <c r="H27" i="8"/>
  <c r="H28" i="8"/>
  <c r="H29" i="8"/>
  <c r="H30" i="8"/>
  <c r="H17" i="8"/>
  <c r="H18" i="8"/>
  <c r="H19" i="8"/>
  <c r="H20" i="8"/>
  <c r="H16" i="8"/>
  <c r="H22" i="8"/>
  <c r="H23" i="8"/>
  <c r="H24" i="8"/>
  <c r="H25" i="8"/>
  <c r="H21" i="8"/>
  <c r="H55" i="8"/>
  <c r="H54" i="8"/>
  <c r="I54" i="8" s="1"/>
  <c r="H53" i="8"/>
  <c r="H52" i="8"/>
  <c r="I52" i="8" s="1"/>
  <c r="H51" i="8"/>
  <c r="E60" i="8"/>
  <c r="I60" i="8" s="1"/>
  <c r="E57" i="8"/>
  <c r="E56" i="8"/>
  <c r="I56" i="8" s="1"/>
  <c r="E55" i="8"/>
  <c r="E54" i="8"/>
  <c r="E53" i="8"/>
  <c r="E51" i="8"/>
  <c r="E50" i="8"/>
  <c r="I50" i="8" s="1"/>
  <c r="E49" i="8"/>
  <c r="I49" i="8" s="1"/>
  <c r="E48" i="8"/>
  <c r="I48" i="8" s="1"/>
  <c r="E47" i="8"/>
  <c r="I47" i="8" s="1"/>
  <c r="E46" i="8"/>
  <c r="I46" i="8" s="1"/>
  <c r="E45" i="8"/>
  <c r="I45" i="8" s="1"/>
  <c r="E44" i="8"/>
  <c r="I44" i="8" s="1"/>
  <c r="E43" i="8"/>
  <c r="I43" i="8" s="1"/>
  <c r="E42" i="8"/>
  <c r="I42" i="8" s="1"/>
  <c r="E41" i="8"/>
  <c r="I41" i="8" s="1"/>
  <c r="E40" i="8"/>
  <c r="I40" i="8" s="1"/>
  <c r="E39" i="8"/>
  <c r="I39" i="8" s="1"/>
  <c r="E38" i="8"/>
  <c r="I38" i="8" s="1"/>
  <c r="E37" i="8"/>
  <c r="I37" i="8" s="1"/>
  <c r="E29" i="8"/>
  <c r="E24" i="8"/>
  <c r="E19" i="8"/>
  <c r="E14" i="8"/>
  <c r="E28" i="8"/>
  <c r="E23" i="8"/>
  <c r="E18" i="8"/>
  <c r="E13" i="8"/>
  <c r="E27" i="8"/>
  <c r="E22" i="8"/>
  <c r="L22" i="8" s="1"/>
  <c r="V22" i="8" s="1"/>
  <c r="E17" i="8"/>
  <c r="E12" i="8"/>
  <c r="E26" i="8"/>
  <c r="E21" i="8"/>
  <c r="E16" i="8"/>
  <c r="E11" i="8"/>
  <c r="L21" i="8"/>
  <c r="V21" i="8" s="1"/>
  <c r="E30" i="8"/>
  <c r="E25" i="8"/>
  <c r="E20" i="8"/>
  <c r="E15" i="8"/>
  <c r="H15" i="8"/>
  <c r="H14" i="8"/>
  <c r="H13" i="8"/>
  <c r="H12" i="8"/>
  <c r="H11" i="8"/>
  <c r="H26" i="7"/>
  <c r="H25" i="7"/>
  <c r="J25" i="7" s="1"/>
  <c r="E48" i="7"/>
  <c r="H24" i="7"/>
  <c r="H23" i="7"/>
  <c r="J23" i="7" s="1"/>
  <c r="E47" i="7"/>
  <c r="H22" i="7"/>
  <c r="H21" i="7"/>
  <c r="J21" i="7" s="1"/>
  <c r="E46" i="7"/>
  <c r="H20" i="7"/>
  <c r="H19" i="7"/>
  <c r="J19" i="7" s="1"/>
  <c r="E45" i="7"/>
  <c r="H16" i="7"/>
  <c r="H15" i="7"/>
  <c r="J15" i="7" s="1"/>
  <c r="E43" i="7"/>
  <c r="H14" i="7"/>
  <c r="H13" i="7"/>
  <c r="J13" i="7" s="1"/>
  <c r="H12" i="7"/>
  <c r="H11" i="7"/>
  <c r="J11" i="7" s="1"/>
  <c r="H18" i="7"/>
  <c r="H17" i="7"/>
  <c r="J17" i="7" s="1"/>
  <c r="E26" i="7"/>
  <c r="E24" i="7"/>
  <c r="J24" i="7" s="1"/>
  <c r="E22" i="7"/>
  <c r="E20" i="7"/>
  <c r="E18" i="7"/>
  <c r="J18" i="7" s="1"/>
  <c r="E16" i="7"/>
  <c r="E14" i="7"/>
  <c r="E12" i="7"/>
  <c r="H43" i="7"/>
  <c r="J43" i="7" s="1"/>
  <c r="H44" i="7"/>
  <c r="H45" i="7"/>
  <c r="J45" i="7" s="1"/>
  <c r="H46" i="7"/>
  <c r="J46" i="7" s="1"/>
  <c r="H47" i="7"/>
  <c r="J47" i="7" s="1"/>
  <c r="H48" i="7"/>
  <c r="J48" i="7" s="1"/>
  <c r="H42" i="7"/>
  <c r="J42" i="7" s="1"/>
  <c r="H41" i="7"/>
  <c r="H33" i="7"/>
  <c r="H34" i="7"/>
  <c r="H56" i="7"/>
  <c r="J56" i="7" s="1"/>
  <c r="E56" i="7"/>
  <c r="H55" i="7"/>
  <c r="J55" i="7" s="1"/>
  <c r="E55" i="7"/>
  <c r="H54" i="7"/>
  <c r="J54" i="7" s="1"/>
  <c r="E54" i="7"/>
  <c r="H53" i="7"/>
  <c r="J53" i="7" s="1"/>
  <c r="E53" i="7"/>
  <c r="H52" i="7"/>
  <c r="J52" i="7" s="1"/>
  <c r="E52" i="7"/>
  <c r="H51" i="7"/>
  <c r="J51" i="7" s="1"/>
  <c r="E51" i="7"/>
  <c r="H50" i="7"/>
  <c r="J50" i="7" s="1"/>
  <c r="E50" i="7"/>
  <c r="H49" i="7"/>
  <c r="J49" i="7" s="1"/>
  <c r="E49" i="7"/>
  <c r="E44" i="7"/>
  <c r="E42" i="7"/>
  <c r="E41" i="7"/>
  <c r="H32" i="7"/>
  <c r="E34" i="7"/>
  <c r="E32" i="7"/>
  <c r="H35" i="7"/>
  <c r="E35" i="7"/>
  <c r="E33" i="7"/>
  <c r="E94" i="6"/>
  <c r="J94" i="6" s="1"/>
  <c r="E88" i="6"/>
  <c r="E82" i="6"/>
  <c r="E76" i="6"/>
  <c r="J76" i="6" s="1"/>
  <c r="E93" i="6"/>
  <c r="J93" i="6" s="1"/>
  <c r="E87" i="6"/>
  <c r="E81" i="6"/>
  <c r="E92" i="6"/>
  <c r="J92" i="6" s="1"/>
  <c r="E86" i="6"/>
  <c r="E80" i="6"/>
  <c r="E74" i="6"/>
  <c r="J74" i="6" s="1"/>
  <c r="E91" i="6"/>
  <c r="J91" i="6" s="1"/>
  <c r="E85" i="6"/>
  <c r="E79" i="6"/>
  <c r="E73" i="6"/>
  <c r="J73" i="6" s="1"/>
  <c r="E90" i="6"/>
  <c r="J90" i="6" s="1"/>
  <c r="T90" i="6" s="1"/>
  <c r="E84" i="6"/>
  <c r="E78" i="6"/>
  <c r="E72" i="6"/>
  <c r="J72" i="6" s="1"/>
  <c r="E89" i="6"/>
  <c r="J89" i="6" s="1"/>
  <c r="E83" i="6"/>
  <c r="E77" i="6"/>
  <c r="E71" i="6"/>
  <c r="J71" i="6" s="1"/>
  <c r="H84" i="6"/>
  <c r="J84" i="6" s="1"/>
  <c r="H85" i="6"/>
  <c r="H86" i="6"/>
  <c r="H87" i="6"/>
  <c r="H88" i="6"/>
  <c r="H83" i="6"/>
  <c r="H82" i="6"/>
  <c r="H81" i="6"/>
  <c r="H80" i="6"/>
  <c r="H79" i="6"/>
  <c r="J79" i="6" s="1"/>
  <c r="H78" i="6"/>
  <c r="H77" i="6"/>
  <c r="E63" i="6"/>
  <c r="E59" i="6"/>
  <c r="E55" i="6"/>
  <c r="E51" i="6"/>
  <c r="E60" i="6"/>
  <c r="E64" i="6"/>
  <c r="E56" i="6"/>
  <c r="E52" i="6"/>
  <c r="H63" i="6"/>
  <c r="H64" i="6"/>
  <c r="H65" i="6"/>
  <c r="H62" i="6"/>
  <c r="E40" i="6"/>
  <c r="H59" i="6"/>
  <c r="H60" i="6"/>
  <c r="H61" i="6"/>
  <c r="H58" i="6"/>
  <c r="E39" i="6"/>
  <c r="H55" i="6"/>
  <c r="H56" i="6"/>
  <c r="H57" i="6"/>
  <c r="H54" i="6"/>
  <c r="E38" i="6"/>
  <c r="H51" i="6"/>
  <c r="H52" i="6"/>
  <c r="H53" i="6"/>
  <c r="H50" i="6"/>
  <c r="H47" i="6"/>
  <c r="H48" i="6"/>
  <c r="H49" i="6"/>
  <c r="H46" i="6"/>
  <c r="E26" i="6"/>
  <c r="I75" i="10" l="1"/>
  <c r="Q75" i="10" s="1"/>
  <c r="J75" i="10"/>
  <c r="R75" i="10" s="1"/>
  <c r="I57" i="10"/>
  <c r="Q57" i="10" s="1"/>
  <c r="L57" i="10"/>
  <c r="T57" i="10" s="1"/>
  <c r="V82" i="16"/>
  <c r="I82" i="16"/>
  <c r="S82" i="16" s="1"/>
  <c r="N47" i="7"/>
  <c r="I47" i="7"/>
  <c r="M47" i="7" s="1"/>
  <c r="J64" i="11"/>
  <c r="P64" i="11" s="1"/>
  <c r="L65" i="10"/>
  <c r="T65" i="10" s="1"/>
  <c r="S65" i="10"/>
  <c r="I13" i="13"/>
  <c r="M13" i="13" s="1"/>
  <c r="N13" i="13"/>
  <c r="I13" i="11"/>
  <c r="Q13" i="11" s="1"/>
  <c r="L26" i="11"/>
  <c r="T26" i="11" s="1"/>
  <c r="J26" i="11"/>
  <c r="R26" i="11" s="1"/>
  <c r="I26" i="11"/>
  <c r="Q26" i="11" s="1"/>
  <c r="I49" i="15"/>
  <c r="AA49" i="15" s="1"/>
  <c r="K49" i="15"/>
  <c r="AC49" i="15" s="1"/>
  <c r="L49" i="15"/>
  <c r="AD49" i="15" s="1"/>
  <c r="Q49" i="15"/>
  <c r="AI49" i="15" s="1"/>
  <c r="M49" i="15"/>
  <c r="AE49" i="15" s="1"/>
  <c r="I56" i="7"/>
  <c r="M56" i="7" s="1"/>
  <c r="N56" i="7"/>
  <c r="J46" i="12"/>
  <c r="N46" i="12" s="1"/>
  <c r="J18" i="11"/>
  <c r="R18" i="11" s="1"/>
  <c r="S18" i="11"/>
  <c r="L18" i="11"/>
  <c r="T18" i="11" s="1"/>
  <c r="Q40" i="11"/>
  <c r="J40" i="11"/>
  <c r="P40" i="11" s="1"/>
  <c r="N49" i="7"/>
  <c r="I49" i="7"/>
  <c r="M49" i="7" s="1"/>
  <c r="T27" i="9"/>
  <c r="L17" i="12"/>
  <c r="T17" i="12" s="1"/>
  <c r="J17" i="12"/>
  <c r="R17" i="12" s="1"/>
  <c r="M60" i="12"/>
  <c r="I76" i="10"/>
  <c r="Q76" i="10" s="1"/>
  <c r="S76" i="10"/>
  <c r="J20" i="12"/>
  <c r="R20" i="12" s="1"/>
  <c r="L20" i="12"/>
  <c r="T20" i="12" s="1"/>
  <c r="I20" i="12"/>
  <c r="Q20" i="12" s="1"/>
  <c r="I12" i="11"/>
  <c r="Q12" i="11" s="1"/>
  <c r="I11" i="18"/>
  <c r="S11" i="18" s="1"/>
  <c r="U11" i="18"/>
  <c r="L75" i="10"/>
  <c r="T75" i="10" s="1"/>
  <c r="N70" i="9"/>
  <c r="Z70" i="9" s="1"/>
  <c r="M11" i="15"/>
  <c r="AE11" i="15" s="1"/>
  <c r="P11" i="15"/>
  <c r="AH11" i="15" s="1"/>
  <c r="Q22" i="15"/>
  <c r="AI22" i="15" s="1"/>
  <c r="L22" i="15"/>
  <c r="AD22" i="15" s="1"/>
  <c r="J22" i="15"/>
  <c r="AB22" i="15" s="1"/>
  <c r="I22" i="15"/>
  <c r="AA22" i="15" s="1"/>
  <c r="M22" i="15"/>
  <c r="AE22" i="15" s="1"/>
  <c r="Q50" i="15"/>
  <c r="AI50" i="15" s="1"/>
  <c r="L50" i="15"/>
  <c r="AD50" i="15" s="1"/>
  <c r="K50" i="15"/>
  <c r="AC50" i="15" s="1"/>
  <c r="Q12" i="15"/>
  <c r="AI12" i="15" s="1"/>
  <c r="N12" i="15"/>
  <c r="AF12" i="15" s="1"/>
  <c r="P12" i="15"/>
  <c r="AH12" i="15" s="1"/>
  <c r="I12" i="15"/>
  <c r="AA12" i="15" s="1"/>
  <c r="S33" i="11"/>
  <c r="J33" i="11"/>
  <c r="R33" i="11" s="1"/>
  <c r="I33" i="11"/>
  <c r="Q33" i="11" s="1"/>
  <c r="I123" i="15"/>
  <c r="M123" i="15" s="1"/>
  <c r="AF49" i="15"/>
  <c r="L71" i="10"/>
  <c r="T71" i="10" s="1"/>
  <c r="J71" i="10"/>
  <c r="R71" i="10" s="1"/>
  <c r="S71" i="10"/>
  <c r="T19" i="9"/>
  <c r="I19" i="9"/>
  <c r="Q19" i="9" s="1"/>
  <c r="K19" i="9"/>
  <c r="S19" i="9" s="1"/>
  <c r="L53" i="10"/>
  <c r="T53" i="10" s="1"/>
  <c r="J53" i="10"/>
  <c r="R53" i="10" s="1"/>
  <c r="L68" i="10"/>
  <c r="T68" i="10" s="1"/>
  <c r="J68" i="10"/>
  <c r="R68" i="10" s="1"/>
  <c r="I68" i="10"/>
  <c r="Q68" i="10" s="1"/>
  <c r="J21" i="18"/>
  <c r="N21" i="18" s="1"/>
  <c r="M21" i="18"/>
  <c r="I33" i="13"/>
  <c r="O33" i="13" s="1"/>
  <c r="J33" i="13"/>
  <c r="P33" i="13" s="1"/>
  <c r="Q33" i="13"/>
  <c r="M34" i="12"/>
  <c r="J34" i="12"/>
  <c r="N34" i="12" s="1"/>
  <c r="I43" i="10"/>
  <c r="Q43" i="10" s="1"/>
  <c r="J43" i="10"/>
  <c r="R43" i="10" s="1"/>
  <c r="L60" i="16"/>
  <c r="T60" i="16" s="1"/>
  <c r="K60" i="16"/>
  <c r="S60" i="16" s="1"/>
  <c r="J60" i="16"/>
  <c r="R60" i="16" s="1"/>
  <c r="N49" i="17"/>
  <c r="I49" i="17"/>
  <c r="M49" i="17" s="1"/>
  <c r="L59" i="16"/>
  <c r="K59" i="16"/>
  <c r="S59" i="16" s="1"/>
  <c r="J59" i="16"/>
  <c r="R59" i="16" s="1"/>
  <c r="Q59" i="16"/>
  <c r="I32" i="11"/>
  <c r="Q32" i="11" s="1"/>
  <c r="L32" i="11"/>
  <c r="T32" i="11" s="1"/>
  <c r="J32" i="11"/>
  <c r="R32" i="11" s="1"/>
  <c r="I52" i="11"/>
  <c r="O52" i="11" s="1"/>
  <c r="Q52" i="11"/>
  <c r="I12" i="9"/>
  <c r="Q12" i="9" s="1"/>
  <c r="T12" i="9"/>
  <c r="K12" i="9"/>
  <c r="S12" i="9" s="1"/>
  <c r="Q53" i="11"/>
  <c r="J53" i="11"/>
  <c r="P53" i="11" s="1"/>
  <c r="J13" i="18"/>
  <c r="T13" i="18" s="1"/>
  <c r="W13" i="18"/>
  <c r="L21" i="11"/>
  <c r="T21" i="11" s="1"/>
  <c r="S21" i="11"/>
  <c r="J21" i="11"/>
  <c r="R21" i="11" s="1"/>
  <c r="I21" i="11"/>
  <c r="Q21" i="11" s="1"/>
  <c r="N52" i="17"/>
  <c r="I52" i="17"/>
  <c r="M52" i="17" s="1"/>
  <c r="S80" i="10"/>
  <c r="I80" i="10"/>
  <c r="Q80" i="10" s="1"/>
  <c r="L80" i="10"/>
  <c r="T80" i="10" s="1"/>
  <c r="N55" i="7"/>
  <c r="I55" i="7"/>
  <c r="M55" i="7" s="1"/>
  <c r="L13" i="18"/>
  <c r="V13" i="18" s="1"/>
  <c r="Q17" i="15"/>
  <c r="AI17" i="15" s="1"/>
  <c r="AG17" i="15"/>
  <c r="P17" i="15"/>
  <c r="AH17" i="15" s="1"/>
  <c r="N17" i="15"/>
  <c r="AF17" i="15" s="1"/>
  <c r="L17" i="15"/>
  <c r="AD17" i="15" s="1"/>
  <c r="J34" i="11"/>
  <c r="R34" i="11" s="1"/>
  <c r="I34" i="11"/>
  <c r="Q34" i="11" s="1"/>
  <c r="N22" i="13"/>
  <c r="M56" i="12"/>
  <c r="J56" i="12"/>
  <c r="N56" i="12" s="1"/>
  <c r="K57" i="16"/>
  <c r="S57" i="16" s="1"/>
  <c r="J57" i="16"/>
  <c r="R57" i="16" s="1"/>
  <c r="L57" i="16"/>
  <c r="T57" i="16" s="1"/>
  <c r="Q57" i="16"/>
  <c r="J38" i="10"/>
  <c r="R38" i="10" s="1"/>
  <c r="L26" i="12"/>
  <c r="T26" i="12" s="1"/>
  <c r="J26" i="12"/>
  <c r="R26" i="12" s="1"/>
  <c r="J31" i="11"/>
  <c r="R31" i="11" s="1"/>
  <c r="I44" i="11"/>
  <c r="O44" i="11" s="1"/>
  <c r="J44" i="11"/>
  <c r="P44" i="11" s="1"/>
  <c r="Q44" i="11"/>
  <c r="S13" i="11"/>
  <c r="J57" i="10"/>
  <c r="R57" i="10" s="1"/>
  <c r="L34" i="15"/>
  <c r="AD34" i="15" s="1"/>
  <c r="M34" i="15"/>
  <c r="AE34" i="15" s="1"/>
  <c r="J44" i="7"/>
  <c r="I53" i="8"/>
  <c r="K16" i="9"/>
  <c r="S16" i="9" s="1"/>
  <c r="I27" i="9"/>
  <c r="Q27" i="9" s="1"/>
  <c r="J38" i="12"/>
  <c r="N38" i="12" s="1"/>
  <c r="J16" i="10"/>
  <c r="R16" i="10" s="1"/>
  <c r="L13" i="11"/>
  <c r="T13" i="11" s="1"/>
  <c r="S26" i="11"/>
  <c r="K16" i="10"/>
  <c r="S16" i="10" s="1"/>
  <c r="S57" i="10"/>
  <c r="K71" i="9"/>
  <c r="W71" i="9" s="1"/>
  <c r="W20" i="16"/>
  <c r="L20" i="16"/>
  <c r="V20" i="16" s="1"/>
  <c r="I25" i="9"/>
  <c r="Q25" i="9" s="1"/>
  <c r="K25" i="9"/>
  <c r="S25" i="9" s="1"/>
  <c r="J41" i="11"/>
  <c r="P41" i="11" s="1"/>
  <c r="M82" i="16"/>
  <c r="W82" i="16" s="1"/>
  <c r="J73" i="10"/>
  <c r="R73" i="10" s="1"/>
  <c r="L73" i="10"/>
  <c r="T73" i="10" s="1"/>
  <c r="K21" i="10"/>
  <c r="S21" i="10" s="1"/>
  <c r="I21" i="10"/>
  <c r="Q21" i="10" s="1"/>
  <c r="T21" i="10"/>
  <c r="I108" i="15"/>
  <c r="M108" i="15" s="1"/>
  <c r="N108" i="15"/>
  <c r="I88" i="15"/>
  <c r="M88" i="15" s="1"/>
  <c r="N88" i="15"/>
  <c r="I68" i="15"/>
  <c r="M68" i="15" s="1"/>
  <c r="N68" i="15"/>
  <c r="I57" i="15"/>
  <c r="M57" i="15" s="1"/>
  <c r="N57" i="15"/>
  <c r="AG18" i="15"/>
  <c r="I18" i="15"/>
  <c r="AA18" i="15" s="1"/>
  <c r="Q18" i="15"/>
  <c r="AI18" i="15" s="1"/>
  <c r="J18" i="15"/>
  <c r="AB18" i="15" s="1"/>
  <c r="L18" i="15"/>
  <c r="AD18" i="15" s="1"/>
  <c r="J29" i="17"/>
  <c r="R29" i="17" s="1"/>
  <c r="J18" i="10"/>
  <c r="R18" i="10" s="1"/>
  <c r="T18" i="10"/>
  <c r="K18" i="10"/>
  <c r="S18" i="10" s="1"/>
  <c r="N74" i="9"/>
  <c r="Z74" i="9" s="1"/>
  <c r="I74" i="9"/>
  <c r="U74" i="9" s="1"/>
  <c r="Y74" i="9"/>
  <c r="N51" i="7"/>
  <c r="I51" i="7"/>
  <c r="M51" i="7" s="1"/>
  <c r="Q41" i="15"/>
  <c r="AI41" i="15" s="1"/>
  <c r="P41" i="15"/>
  <c r="AH41" i="15" s="1"/>
  <c r="K41" i="15"/>
  <c r="AC41" i="15" s="1"/>
  <c r="I38" i="10"/>
  <c r="Q38" i="10" s="1"/>
  <c r="K38" i="10"/>
  <c r="S38" i="10" s="1"/>
  <c r="T21" i="9"/>
  <c r="K21" i="9"/>
  <c r="S21" i="9" s="1"/>
  <c r="I67" i="9"/>
  <c r="U67" i="9" s="1"/>
  <c r="L67" i="9"/>
  <c r="X67" i="9" s="1"/>
  <c r="Y67" i="9"/>
  <c r="I53" i="11"/>
  <c r="O53" i="11" s="1"/>
  <c r="I45" i="7"/>
  <c r="M45" i="7" s="1"/>
  <c r="N45" i="7"/>
  <c r="W30" i="16"/>
  <c r="I30" i="16"/>
  <c r="S30" i="16" s="1"/>
  <c r="M28" i="15"/>
  <c r="AE28" i="15" s="1"/>
  <c r="Q28" i="15"/>
  <c r="AI28" i="15" s="1"/>
  <c r="K28" i="15"/>
  <c r="AC28" i="15" s="1"/>
  <c r="N65" i="9"/>
  <c r="Z65" i="9" s="1"/>
  <c r="L65" i="9"/>
  <c r="X65" i="9" s="1"/>
  <c r="J82" i="16"/>
  <c r="T82" i="16" s="1"/>
  <c r="M54" i="12"/>
  <c r="J54" i="12"/>
  <c r="N54" i="12" s="1"/>
  <c r="I71" i="9"/>
  <c r="U71" i="9" s="1"/>
  <c r="J67" i="9"/>
  <c r="V67" i="9" s="1"/>
  <c r="J74" i="9"/>
  <c r="V74" i="9" s="1"/>
  <c r="Q34" i="15"/>
  <c r="AI34" i="15" s="1"/>
  <c r="Q43" i="15"/>
  <c r="AI43" i="15" s="1"/>
  <c r="L43" i="15"/>
  <c r="AD43" i="15" s="1"/>
  <c r="Q51" i="15"/>
  <c r="AI51" i="15" s="1"/>
  <c r="L51" i="15"/>
  <c r="AD51" i="15" s="1"/>
  <c r="W27" i="16"/>
  <c r="J27" i="16"/>
  <c r="T27" i="16" s="1"/>
  <c r="N125" i="15"/>
  <c r="N104" i="15"/>
  <c r="Q41" i="11"/>
  <c r="K82" i="16"/>
  <c r="U82" i="16" s="1"/>
  <c r="Q14" i="15"/>
  <c r="AI14" i="15" s="1"/>
  <c r="N14" i="15"/>
  <c r="AF14" i="15" s="1"/>
  <c r="I14" i="15"/>
  <c r="AA14" i="15" s="1"/>
  <c r="AG14" i="15"/>
  <c r="L29" i="17"/>
  <c r="T29" i="17" s="1"/>
  <c r="T23" i="9"/>
  <c r="I23" i="9"/>
  <c r="Q23" i="9" s="1"/>
  <c r="K23" i="9"/>
  <c r="S23" i="9" s="1"/>
  <c r="I35" i="13"/>
  <c r="O35" i="13" s="1"/>
  <c r="J35" i="13"/>
  <c r="P35" i="13" s="1"/>
  <c r="O78" i="11"/>
  <c r="AE78" i="11" s="1"/>
  <c r="J78" i="11"/>
  <c r="Z78" i="11" s="1"/>
  <c r="J70" i="9"/>
  <c r="V70" i="9" s="1"/>
  <c r="L70" i="9"/>
  <c r="X70" i="9" s="1"/>
  <c r="K13" i="18"/>
  <c r="T26" i="9"/>
  <c r="J26" i="9"/>
  <c r="R26" i="9" s="1"/>
  <c r="I26" i="9"/>
  <c r="Q26" i="9" s="1"/>
  <c r="I129" i="15"/>
  <c r="M129" i="15" s="1"/>
  <c r="N129" i="15"/>
  <c r="I36" i="13"/>
  <c r="O36" i="13" s="1"/>
  <c r="J36" i="13"/>
  <c r="P36" i="13" s="1"/>
  <c r="I45" i="17"/>
  <c r="M45" i="17" s="1"/>
  <c r="N45" i="17"/>
  <c r="I52" i="7"/>
  <c r="M52" i="7" s="1"/>
  <c r="N52" i="7"/>
  <c r="S31" i="11"/>
  <c r="P49" i="15"/>
  <c r="AH49" i="15" s="1"/>
  <c r="W12" i="16"/>
  <c r="K12" i="16"/>
  <c r="U12" i="16" s="1"/>
  <c r="Q35" i="13"/>
  <c r="I53" i="7"/>
  <c r="M53" i="7" s="1"/>
  <c r="N53" i="7"/>
  <c r="N43" i="7"/>
  <c r="I43" i="7"/>
  <c r="M43" i="7" s="1"/>
  <c r="J27" i="9"/>
  <c r="R27" i="9" s="1"/>
  <c r="J40" i="12"/>
  <c r="N40" i="12" s="1"/>
  <c r="J53" i="12"/>
  <c r="N53" i="12" s="1"/>
  <c r="M53" i="12"/>
  <c r="J39" i="12"/>
  <c r="N39" i="12" s="1"/>
  <c r="M39" i="12"/>
  <c r="S19" i="12"/>
  <c r="L19" i="12"/>
  <c r="T19" i="12" s="1"/>
  <c r="I61" i="11"/>
  <c r="O61" i="11" s="1"/>
  <c r="S75" i="10"/>
  <c r="N67" i="9"/>
  <c r="Z67" i="9" s="1"/>
  <c r="K74" i="9"/>
  <c r="W74" i="9" s="1"/>
  <c r="I34" i="15"/>
  <c r="AA34" i="15" s="1"/>
  <c r="L22" i="16"/>
  <c r="V22" i="16" s="1"/>
  <c r="L27" i="16"/>
  <c r="V27" i="16" s="1"/>
  <c r="J46" i="11"/>
  <c r="P46" i="11" s="1"/>
  <c r="I46" i="11"/>
  <c r="O46" i="11" s="1"/>
  <c r="N84" i="15"/>
  <c r="I82" i="15"/>
  <c r="M82" i="15" s="1"/>
  <c r="J63" i="10"/>
  <c r="R63" i="10" s="1"/>
  <c r="L63" i="10"/>
  <c r="T63" i="10" s="1"/>
  <c r="I96" i="15"/>
  <c r="M96" i="15" s="1"/>
  <c r="N96" i="15"/>
  <c r="I87" i="15"/>
  <c r="M87" i="15" s="1"/>
  <c r="N87" i="15"/>
  <c r="J31" i="13"/>
  <c r="P31" i="13" s="1"/>
  <c r="I31" i="13"/>
  <c r="O31" i="13" s="1"/>
  <c r="Q31" i="13"/>
  <c r="S29" i="17"/>
  <c r="I48" i="17"/>
  <c r="M48" i="17" s="1"/>
  <c r="N130" i="15"/>
  <c r="J80" i="6"/>
  <c r="I46" i="7"/>
  <c r="M46" i="7" s="1"/>
  <c r="N46" i="7"/>
  <c r="J20" i="7"/>
  <c r="N20" i="7" s="1"/>
  <c r="I51" i="8"/>
  <c r="J30" i="10"/>
  <c r="R30" i="10" s="1"/>
  <c r="I14" i="12"/>
  <c r="Q14" i="12" s="1"/>
  <c r="J31" i="10"/>
  <c r="R31" i="10" s="1"/>
  <c r="K28" i="10"/>
  <c r="S28" i="10" s="1"/>
  <c r="M44" i="15"/>
  <c r="AE44" i="15" s="1"/>
  <c r="J23" i="15"/>
  <c r="AB23" i="15" s="1"/>
  <c r="N20" i="15"/>
  <c r="AF20" i="15" s="1"/>
  <c r="L17" i="16"/>
  <c r="V17" i="16" s="1"/>
  <c r="I26" i="16"/>
  <c r="S26" i="16" s="1"/>
  <c r="I21" i="16"/>
  <c r="S21" i="16" s="1"/>
  <c r="L40" i="16"/>
  <c r="T40" i="16" s="1"/>
  <c r="K48" i="13"/>
  <c r="U48" i="13" s="1"/>
  <c r="S30" i="17"/>
  <c r="Q40" i="16"/>
  <c r="J88" i="6"/>
  <c r="M88" i="6" s="1"/>
  <c r="W88" i="6" s="1"/>
  <c r="J41" i="7"/>
  <c r="N41" i="7" s="1"/>
  <c r="J12" i="7"/>
  <c r="I12" i="7" s="1"/>
  <c r="M12" i="7" s="1"/>
  <c r="L18" i="8"/>
  <c r="V18" i="8" s="1"/>
  <c r="I55" i="8"/>
  <c r="M78" i="8"/>
  <c r="I78" i="8" s="1"/>
  <c r="J46" i="10"/>
  <c r="R46" i="10" s="1"/>
  <c r="N131" i="15"/>
  <c r="J30" i="17"/>
  <c r="R30" i="17" s="1"/>
  <c r="S32" i="17"/>
  <c r="J77" i="6"/>
  <c r="N50" i="7"/>
  <c r="I50" i="7"/>
  <c r="M50" i="7" s="1"/>
  <c r="N42" i="7"/>
  <c r="I42" i="7"/>
  <c r="M42" i="7" s="1"/>
  <c r="I46" i="10"/>
  <c r="Q46" i="10" s="1"/>
  <c r="I56" i="11"/>
  <c r="O56" i="11" s="1"/>
  <c r="N109" i="15"/>
  <c r="I39" i="13"/>
  <c r="O39" i="13" s="1"/>
  <c r="J39" i="13"/>
  <c r="P39" i="13" s="1"/>
  <c r="J87" i="6"/>
  <c r="I54" i="7"/>
  <c r="M54" i="7" s="1"/>
  <c r="N54" i="7"/>
  <c r="J14" i="7"/>
  <c r="I14" i="7" s="1"/>
  <c r="M14" i="7" s="1"/>
  <c r="I48" i="7"/>
  <c r="M48" i="7" s="1"/>
  <c r="N48" i="7"/>
  <c r="K46" i="10"/>
  <c r="S46" i="10" s="1"/>
  <c r="I23" i="15"/>
  <c r="AA23" i="15" s="1"/>
  <c r="K26" i="16"/>
  <c r="U26" i="16" s="1"/>
  <c r="I40" i="13"/>
  <c r="O40" i="13" s="1"/>
  <c r="J40" i="13"/>
  <c r="P40" i="13" s="1"/>
  <c r="Q58" i="16"/>
  <c r="K58" i="16"/>
  <c r="S58" i="16" s="1"/>
  <c r="I63" i="11"/>
  <c r="O63" i="11" s="1"/>
  <c r="Q63" i="11"/>
  <c r="J73" i="16"/>
  <c r="T73" i="16" s="1"/>
  <c r="I70" i="16"/>
  <c r="S70" i="16" s="1"/>
  <c r="K70" i="16"/>
  <c r="U70" i="16" s="1"/>
  <c r="M70" i="16"/>
  <c r="W70" i="16" s="1"/>
  <c r="L32" i="7"/>
  <c r="O32" i="7" s="1"/>
  <c r="AE32" i="7" s="1"/>
  <c r="L35" i="7"/>
  <c r="N21" i="7"/>
  <c r="I21" i="7"/>
  <c r="M21" i="7" s="1"/>
  <c r="N17" i="7"/>
  <c r="I17" i="7"/>
  <c r="M17" i="7" s="1"/>
  <c r="N23" i="7"/>
  <c r="I23" i="7"/>
  <c r="M23" i="7" s="1"/>
  <c r="N13" i="7"/>
  <c r="I13" i="7"/>
  <c r="M13" i="7" s="1"/>
  <c r="N15" i="7"/>
  <c r="I15" i="7"/>
  <c r="M15" i="7" s="1"/>
  <c r="I25" i="7"/>
  <c r="M25" i="7" s="1"/>
  <c r="N25" i="7"/>
  <c r="N11" i="7"/>
  <c r="I11" i="7"/>
  <c r="M11" i="7" s="1"/>
  <c r="N19" i="7"/>
  <c r="I19" i="7"/>
  <c r="M19" i="7" s="1"/>
  <c r="I24" i="7"/>
  <c r="M24" i="7" s="1"/>
  <c r="N24" i="7"/>
  <c r="L33" i="7"/>
  <c r="AB33" i="7" s="1"/>
  <c r="L34" i="7"/>
  <c r="J22" i="7"/>
  <c r="N12" i="7"/>
  <c r="I18" i="7"/>
  <c r="M18" i="7" s="1"/>
  <c r="N18" i="7"/>
  <c r="J26" i="7"/>
  <c r="O35" i="7"/>
  <c r="K35" i="7"/>
  <c r="N35" i="7"/>
  <c r="M35" i="7"/>
  <c r="J35" i="7"/>
  <c r="P35" i="7"/>
  <c r="I35" i="7"/>
  <c r="J16" i="7"/>
  <c r="T59" i="16"/>
  <c r="I19" i="12"/>
  <c r="Q19" i="12" s="1"/>
  <c r="J19" i="12"/>
  <c r="R19" i="12" s="1"/>
  <c r="I15" i="12"/>
  <c r="Q15" i="12" s="1"/>
  <c r="S15" i="12"/>
  <c r="L63" i="9"/>
  <c r="X63" i="9" s="1"/>
  <c r="I63" i="9"/>
  <c r="U63" i="9" s="1"/>
  <c r="J20" i="18"/>
  <c r="N20" i="18" s="1"/>
  <c r="M20" i="18"/>
  <c r="J81" i="6"/>
  <c r="K44" i="8"/>
  <c r="S44" i="8" s="1"/>
  <c r="L57" i="8"/>
  <c r="T57" i="8" s="1"/>
  <c r="K13" i="10"/>
  <c r="S13" i="10" s="1"/>
  <c r="K93" i="10"/>
  <c r="AC93" i="10" s="1"/>
  <c r="AH95" i="10"/>
  <c r="AD97" i="10"/>
  <c r="AC105" i="10"/>
  <c r="M58" i="12"/>
  <c r="M44" i="12"/>
  <c r="I24" i="12"/>
  <c r="Q24" i="12" s="1"/>
  <c r="I25" i="12"/>
  <c r="Q25" i="12" s="1"/>
  <c r="I13" i="12"/>
  <c r="Q13" i="12" s="1"/>
  <c r="K11" i="15"/>
  <c r="AC11" i="15" s="1"/>
  <c r="J11" i="15"/>
  <c r="AB11" i="15" s="1"/>
  <c r="AF39" i="15"/>
  <c r="P22" i="15"/>
  <c r="AH22" i="15" s="1"/>
  <c r="N22" i="15"/>
  <c r="AF22" i="15" s="1"/>
  <c r="K17" i="15"/>
  <c r="AC17" i="15" s="1"/>
  <c r="J17" i="15"/>
  <c r="AB17" i="15" s="1"/>
  <c r="M17" i="15"/>
  <c r="AE17" i="15" s="1"/>
  <c r="J50" i="15"/>
  <c r="AB50" i="15" s="1"/>
  <c r="P50" i="15"/>
  <c r="AH50" i="15" s="1"/>
  <c r="J41" i="15"/>
  <c r="AB41" i="15" s="1"/>
  <c r="L41" i="15"/>
  <c r="AD41" i="15" s="1"/>
  <c r="O41" i="15"/>
  <c r="AG41" i="15" s="1"/>
  <c r="I28" i="15"/>
  <c r="AA28" i="15" s="1"/>
  <c r="P28" i="15"/>
  <c r="AH28" i="15" s="1"/>
  <c r="AG28" i="15"/>
  <c r="J20" i="15"/>
  <c r="AB20" i="15" s="1"/>
  <c r="L20" i="15"/>
  <c r="AD20" i="15" s="1"/>
  <c r="P20" i="15"/>
  <c r="AH20" i="15" s="1"/>
  <c r="I20" i="15"/>
  <c r="AA20" i="15" s="1"/>
  <c r="K12" i="15"/>
  <c r="AC12" i="15" s="1"/>
  <c r="L12" i="15"/>
  <c r="AD12" i="15" s="1"/>
  <c r="J12" i="15"/>
  <c r="AB12" i="15" s="1"/>
  <c r="AG12" i="15"/>
  <c r="J25" i="16"/>
  <c r="T25" i="16" s="1"/>
  <c r="K17" i="16"/>
  <c r="U17" i="16" s="1"/>
  <c r="I20" i="16"/>
  <c r="S20" i="16" s="1"/>
  <c r="K20" i="16"/>
  <c r="U20" i="16" s="1"/>
  <c r="K22" i="16"/>
  <c r="U22" i="16" s="1"/>
  <c r="J24" i="16"/>
  <c r="T24" i="16" s="1"/>
  <c r="I24" i="16"/>
  <c r="S24" i="16" s="1"/>
  <c r="I25" i="16"/>
  <c r="S25" i="16" s="1"/>
  <c r="L25" i="16"/>
  <c r="V25" i="16" s="1"/>
  <c r="I27" i="16"/>
  <c r="S27" i="16" s="1"/>
  <c r="L30" i="16"/>
  <c r="V30" i="16" s="1"/>
  <c r="J30" i="16"/>
  <c r="T30" i="16" s="1"/>
  <c r="M74" i="16"/>
  <c r="W74" i="16" s="1"/>
  <c r="M23" i="18"/>
  <c r="AG27" i="15"/>
  <c r="I27" i="15"/>
  <c r="AA27" i="15" s="1"/>
  <c r="N66" i="9"/>
  <c r="Z66" i="9" s="1"/>
  <c r="J66" i="9"/>
  <c r="V66" i="9" s="1"/>
  <c r="K42" i="10"/>
  <c r="S42" i="10" s="1"/>
  <c r="T42" i="10"/>
  <c r="AH105" i="10"/>
  <c r="AA94" i="10"/>
  <c r="AE105" i="10"/>
  <c r="L86" i="10"/>
  <c r="T86" i="10" s="1"/>
  <c r="I86" i="10"/>
  <c r="Q86" i="10" s="1"/>
  <c r="J13" i="10"/>
  <c r="R13" i="10" s="1"/>
  <c r="AE94" i="10"/>
  <c r="L76" i="10"/>
  <c r="T76" i="10" s="1"/>
  <c r="I52" i="9"/>
  <c r="O52" i="9" s="1"/>
  <c r="L72" i="8"/>
  <c r="V72" i="8" s="1"/>
  <c r="K72" i="8"/>
  <c r="J72" i="8"/>
  <c r="I72" i="8"/>
  <c r="S72" i="8" s="1"/>
  <c r="W72" i="8"/>
  <c r="L77" i="8"/>
  <c r="V77" i="8" s="1"/>
  <c r="J77" i="8"/>
  <c r="I77" i="8"/>
  <c r="K77" i="8"/>
  <c r="U77" i="8" s="1"/>
  <c r="I70" i="8"/>
  <c r="L70" i="8"/>
  <c r="K70" i="8"/>
  <c r="J70" i="8"/>
  <c r="T70" i="8" s="1"/>
  <c r="J69" i="8"/>
  <c r="T69" i="8" s="1"/>
  <c r="I69" i="8"/>
  <c r="L69" i="8"/>
  <c r="K69" i="8"/>
  <c r="U69" i="8" s="1"/>
  <c r="J85" i="8"/>
  <c r="I85" i="8"/>
  <c r="L85" i="8"/>
  <c r="K85" i="8"/>
  <c r="U85" i="8" s="1"/>
  <c r="L75" i="8"/>
  <c r="V75" i="8" s="1"/>
  <c r="K75" i="8"/>
  <c r="J75" i="8"/>
  <c r="T75" i="8" s="1"/>
  <c r="I75" i="8"/>
  <c r="S75" i="8" s="1"/>
  <c r="L82" i="8"/>
  <c r="I82" i="8"/>
  <c r="K82" i="8"/>
  <c r="J82" i="8"/>
  <c r="K71" i="8"/>
  <c r="U71" i="8" s="1"/>
  <c r="L71" i="8"/>
  <c r="J71" i="8"/>
  <c r="T71" i="8" s="1"/>
  <c r="I71" i="8"/>
  <c r="S71" i="8" s="1"/>
  <c r="I74" i="8"/>
  <c r="L74" i="8"/>
  <c r="K74" i="8"/>
  <c r="J74" i="8"/>
  <c r="L67" i="8"/>
  <c r="V67" i="8" s="1"/>
  <c r="K67" i="8"/>
  <c r="J67" i="8"/>
  <c r="T67" i="8" s="1"/>
  <c r="I67" i="8"/>
  <c r="S67" i="8" s="1"/>
  <c r="K80" i="8"/>
  <c r="J80" i="8"/>
  <c r="L80" i="8"/>
  <c r="V80" i="8" s="1"/>
  <c r="I80" i="8"/>
  <c r="S80" i="8" s="1"/>
  <c r="L47" i="8"/>
  <c r="T47" i="8" s="1"/>
  <c r="K47" i="8"/>
  <c r="S47" i="8" s="1"/>
  <c r="J47" i="8"/>
  <c r="R47" i="8" s="1"/>
  <c r="L44" i="8"/>
  <c r="T44" i="8" s="1"/>
  <c r="K57" i="8"/>
  <c r="K78" i="8"/>
  <c r="L78" i="8"/>
  <c r="J78" i="8"/>
  <c r="J73" i="8"/>
  <c r="I73" i="8"/>
  <c r="L73" i="8"/>
  <c r="V73" i="8" s="1"/>
  <c r="K73" i="8"/>
  <c r="L24" i="8"/>
  <c r="V24" i="8" s="1"/>
  <c r="Q50" i="8"/>
  <c r="L51" i="8"/>
  <c r="T51" i="8" s="1"/>
  <c r="K51" i="8"/>
  <c r="J51" i="8"/>
  <c r="L39" i="8"/>
  <c r="K39" i="8"/>
  <c r="S39" i="8" s="1"/>
  <c r="J39" i="8"/>
  <c r="L56" i="8"/>
  <c r="T56" i="8" s="1"/>
  <c r="K56" i="8"/>
  <c r="J56" i="8"/>
  <c r="L58" i="8"/>
  <c r="T58" i="8" s="1"/>
  <c r="K58" i="8"/>
  <c r="S58" i="8" s="1"/>
  <c r="J58" i="8"/>
  <c r="K76" i="8"/>
  <c r="L76" i="8"/>
  <c r="J76" i="8"/>
  <c r="I76" i="8"/>
  <c r="S76" i="8" s="1"/>
  <c r="M83" i="8"/>
  <c r="W83" i="8" s="1"/>
  <c r="Q42" i="8"/>
  <c r="L45" i="8"/>
  <c r="T45" i="8" s="1"/>
  <c r="K45" i="8"/>
  <c r="S45" i="8" s="1"/>
  <c r="J45" i="8"/>
  <c r="L40" i="8"/>
  <c r="K40" i="8"/>
  <c r="J40" i="8"/>
  <c r="L48" i="8"/>
  <c r="T48" i="8" s="1"/>
  <c r="K48" i="8"/>
  <c r="S48" i="8" s="1"/>
  <c r="J48" i="8"/>
  <c r="R48" i="8" s="1"/>
  <c r="L59" i="8"/>
  <c r="T59" i="8" s="1"/>
  <c r="K59" i="8"/>
  <c r="J59" i="8"/>
  <c r="J81" i="8"/>
  <c r="L81" i="8"/>
  <c r="I81" i="8"/>
  <c r="S81" i="8" s="1"/>
  <c r="K81" i="8"/>
  <c r="L68" i="8"/>
  <c r="V68" i="8" s="1"/>
  <c r="K68" i="8"/>
  <c r="J68" i="8"/>
  <c r="I68" i="8"/>
  <c r="K84" i="8"/>
  <c r="J84" i="8"/>
  <c r="T84" i="8" s="1"/>
  <c r="I84" i="8"/>
  <c r="S84" i="8" s="1"/>
  <c r="L84" i="8"/>
  <c r="Q46" i="8"/>
  <c r="L26" i="8"/>
  <c r="V26" i="8" s="1"/>
  <c r="L28" i="8"/>
  <c r="V28" i="8" s="1"/>
  <c r="Q37" i="8"/>
  <c r="Q60" i="8"/>
  <c r="M79" i="8"/>
  <c r="I71" i="6"/>
  <c r="K71" i="6"/>
  <c r="U71" i="6" s="1"/>
  <c r="L71" i="6"/>
  <c r="M71" i="6"/>
  <c r="W71" i="6" s="1"/>
  <c r="K72" i="6"/>
  <c r="L72" i="6"/>
  <c r="M72" i="6"/>
  <c r="I72" i="6"/>
  <c r="S72" i="6" s="1"/>
  <c r="L73" i="6"/>
  <c r="M73" i="6"/>
  <c r="W73" i="6" s="1"/>
  <c r="I73" i="6"/>
  <c r="K73" i="6"/>
  <c r="U73" i="6" s="1"/>
  <c r="M74" i="6"/>
  <c r="I74" i="6"/>
  <c r="K74" i="6"/>
  <c r="L74" i="6"/>
  <c r="L89" i="6"/>
  <c r="V89" i="6" s="1"/>
  <c r="M89" i="6"/>
  <c r="W89" i="6" s="1"/>
  <c r="I89" i="6"/>
  <c r="K89" i="6"/>
  <c r="K92" i="6"/>
  <c r="L92" i="6"/>
  <c r="M92" i="6"/>
  <c r="I92" i="6"/>
  <c r="S92" i="6" s="1"/>
  <c r="K76" i="6"/>
  <c r="L76" i="6"/>
  <c r="V76" i="6" s="1"/>
  <c r="M76" i="6"/>
  <c r="I76" i="6"/>
  <c r="T76" i="6"/>
  <c r="L93" i="6"/>
  <c r="M93" i="6"/>
  <c r="I93" i="6"/>
  <c r="S93" i="6" s="1"/>
  <c r="K93" i="6"/>
  <c r="U93" i="6" s="1"/>
  <c r="T93" i="6"/>
  <c r="M94" i="6"/>
  <c r="I94" i="6"/>
  <c r="S94" i="6" s="1"/>
  <c r="K94" i="6"/>
  <c r="L94" i="6"/>
  <c r="T94" i="6"/>
  <c r="L81" i="6"/>
  <c r="M81" i="6"/>
  <c r="W81" i="6" s="1"/>
  <c r="I81" i="6"/>
  <c r="S81" i="6" s="1"/>
  <c r="K81" i="6"/>
  <c r="I79" i="6"/>
  <c r="K79" i="6"/>
  <c r="L79" i="6"/>
  <c r="M79" i="6"/>
  <c r="J86" i="6"/>
  <c r="J78" i="6"/>
  <c r="T78" i="6" s="1"/>
  <c r="I87" i="6"/>
  <c r="S87" i="6" s="1"/>
  <c r="K87" i="6"/>
  <c r="L87" i="6"/>
  <c r="M87" i="6"/>
  <c r="J82" i="6"/>
  <c r="L77" i="6"/>
  <c r="M77" i="6"/>
  <c r="I77" i="6"/>
  <c r="K77" i="6"/>
  <c r="U77" i="6" s="1"/>
  <c r="K84" i="6"/>
  <c r="L84" i="6"/>
  <c r="V84" i="6" s="1"/>
  <c r="M84" i="6"/>
  <c r="W84" i="6" s="1"/>
  <c r="I84" i="6"/>
  <c r="K80" i="6"/>
  <c r="L80" i="6"/>
  <c r="V80" i="6" s="1"/>
  <c r="M80" i="6"/>
  <c r="I80" i="6"/>
  <c r="J85" i="6"/>
  <c r="T85" i="6" s="1"/>
  <c r="M90" i="6"/>
  <c r="W90" i="6" s="1"/>
  <c r="I90" i="6"/>
  <c r="S90" i="6" s="1"/>
  <c r="K90" i="6"/>
  <c r="L90" i="6"/>
  <c r="I91" i="6"/>
  <c r="K91" i="6"/>
  <c r="L91" i="6"/>
  <c r="M91" i="6"/>
  <c r="T71" i="6"/>
  <c r="T73" i="6"/>
  <c r="J83" i="6"/>
  <c r="M29" i="18"/>
  <c r="J74" i="16"/>
  <c r="T74" i="16" s="1"/>
  <c r="I74" i="16"/>
  <c r="S74" i="16" s="1"/>
  <c r="I22" i="16"/>
  <c r="S22" i="16" s="1"/>
  <c r="W22" i="16"/>
  <c r="K15" i="16"/>
  <c r="U15" i="16" s="1"/>
  <c r="W15" i="16"/>
  <c r="J34" i="15"/>
  <c r="AB34" i="15" s="1"/>
  <c r="O34" i="15"/>
  <c r="AG34" i="15" s="1"/>
  <c r="M74" i="11"/>
  <c r="AC74" i="11" s="1"/>
  <c r="P74" i="11"/>
  <c r="AF74" i="11" s="1"/>
  <c r="K74" i="11"/>
  <c r="AA74" i="11" s="1"/>
  <c r="J74" i="11"/>
  <c r="Z74" i="11" s="1"/>
  <c r="I74" i="11"/>
  <c r="Y74" i="11" s="1"/>
  <c r="L69" i="10"/>
  <c r="T69" i="10" s="1"/>
  <c r="S69" i="10"/>
  <c r="J25" i="10"/>
  <c r="R25" i="10" s="1"/>
  <c r="J71" i="9"/>
  <c r="V71" i="9" s="1"/>
  <c r="N63" i="9"/>
  <c r="Z63" i="9" s="1"/>
  <c r="AF47" i="15"/>
  <c r="K40" i="15"/>
  <c r="AC40" i="15" s="1"/>
  <c r="I46" i="15"/>
  <c r="AA46" i="15" s="1"/>
  <c r="L13" i="15"/>
  <c r="AD13" i="15" s="1"/>
  <c r="P40" i="15"/>
  <c r="AH40" i="15" s="1"/>
  <c r="K46" i="15"/>
  <c r="AC46" i="15" s="1"/>
  <c r="P46" i="15"/>
  <c r="AH46" i="15" s="1"/>
  <c r="K13" i="15"/>
  <c r="AC13" i="15" s="1"/>
  <c r="M13" i="15"/>
  <c r="AE13" i="15" s="1"/>
  <c r="L16" i="15"/>
  <c r="AD16" i="15" s="1"/>
  <c r="J16" i="15"/>
  <c r="AB16" i="15" s="1"/>
  <c r="L12" i="16"/>
  <c r="V12" i="16" s="1"/>
  <c r="J16" i="16"/>
  <c r="T16" i="16" s="1"/>
  <c r="I23" i="16"/>
  <c r="S23" i="16" s="1"/>
  <c r="J28" i="16"/>
  <c r="T28" i="16" s="1"/>
  <c r="I61" i="10"/>
  <c r="Q61" i="10" s="1"/>
  <c r="S61" i="10"/>
  <c r="L61" i="10"/>
  <c r="T61" i="10" s="1"/>
  <c r="J61" i="10"/>
  <c r="R61" i="10" s="1"/>
  <c r="AB78" i="11"/>
  <c r="M78" i="11"/>
  <c r="AC78" i="11" s="1"/>
  <c r="P78" i="11"/>
  <c r="AF78" i="11" s="1"/>
  <c r="N78" i="11"/>
  <c r="AD78" i="11" s="1"/>
  <c r="L13" i="16"/>
  <c r="V13" i="16" s="1"/>
  <c r="W13" i="16"/>
  <c r="L30" i="8"/>
  <c r="V30" i="8" s="1"/>
  <c r="Q38" i="8"/>
  <c r="Q39" i="8"/>
  <c r="L23" i="8"/>
  <c r="W71" i="8"/>
  <c r="Q42" i="9"/>
  <c r="J42" i="9"/>
  <c r="P42" i="9" s="1"/>
  <c r="I28" i="9"/>
  <c r="Q28" i="9" s="1"/>
  <c r="I16" i="9"/>
  <c r="Q16" i="9" s="1"/>
  <c r="J23" i="9"/>
  <c r="R23" i="9" s="1"/>
  <c r="J43" i="9"/>
  <c r="P43" i="9" s="1"/>
  <c r="Q52" i="9"/>
  <c r="Q40" i="9"/>
  <c r="J63" i="9"/>
  <c r="V63" i="9" s="1"/>
  <c r="I13" i="10"/>
  <c r="Q13" i="10" s="1"/>
  <c r="J93" i="10"/>
  <c r="AB93" i="10" s="1"/>
  <c r="AB94" i="10"/>
  <c r="AC94" i="10"/>
  <c r="AA96" i="10"/>
  <c r="AB96" i="10"/>
  <c r="AI97" i="10"/>
  <c r="AE102" i="10"/>
  <c r="J76" i="10"/>
  <c r="R76" i="10" s="1"/>
  <c r="O75" i="11"/>
  <c r="AE75" i="11" s="1"/>
  <c r="M42" i="12"/>
  <c r="J32" i="12"/>
  <c r="N32" i="12" s="1"/>
  <c r="I26" i="12"/>
  <c r="Q26" i="12" s="1"/>
  <c r="S21" i="12"/>
  <c r="I17" i="12"/>
  <c r="Q17" i="12" s="1"/>
  <c r="L15" i="12"/>
  <c r="T15" i="12" s="1"/>
  <c r="I78" i="11"/>
  <c r="Y78" i="11" s="1"/>
  <c r="Q45" i="11"/>
  <c r="P75" i="11"/>
  <c r="AF75" i="11" s="1"/>
  <c r="L34" i="11"/>
  <c r="T34" i="11" s="1"/>
  <c r="T16" i="10"/>
  <c r="I80" i="11"/>
  <c r="Y80" i="11" s="1"/>
  <c r="P80" i="11"/>
  <c r="AF80" i="11" s="1"/>
  <c r="J52" i="11"/>
  <c r="P52" i="11" s="1"/>
  <c r="Y71" i="9"/>
  <c r="L71" i="9"/>
  <c r="X71" i="9" s="1"/>
  <c r="AF40" i="15"/>
  <c r="M40" i="15"/>
  <c r="AE40" i="15" s="1"/>
  <c r="I40" i="15"/>
  <c r="AA40" i="15" s="1"/>
  <c r="Q13" i="15"/>
  <c r="AI13" i="15" s="1"/>
  <c r="P13" i="15"/>
  <c r="AH13" i="15" s="1"/>
  <c r="I13" i="15"/>
  <c r="AA13" i="15" s="1"/>
  <c r="L40" i="15"/>
  <c r="AD40" i="15" s="1"/>
  <c r="N13" i="15"/>
  <c r="AF13" i="15" s="1"/>
  <c r="I16" i="15"/>
  <c r="AA16" i="15" s="1"/>
  <c r="K16" i="15"/>
  <c r="AC16" i="15" s="1"/>
  <c r="Q16" i="15"/>
  <c r="AI16" i="15" s="1"/>
  <c r="J12" i="16"/>
  <c r="T12" i="16" s="1"/>
  <c r="L16" i="16"/>
  <c r="V16" i="16" s="1"/>
  <c r="K28" i="16"/>
  <c r="U28" i="16" s="1"/>
  <c r="W28" i="16"/>
  <c r="M46" i="15"/>
  <c r="AE46" i="15" s="1"/>
  <c r="Q46" i="15"/>
  <c r="AI46" i="15" s="1"/>
  <c r="L18" i="16"/>
  <c r="V18" i="16" s="1"/>
  <c r="W18" i="16"/>
  <c r="AB69" i="12"/>
  <c r="N69" i="12"/>
  <c r="AD69" i="12" s="1"/>
  <c r="I93" i="10"/>
  <c r="AA93" i="10" s="1"/>
  <c r="M93" i="10"/>
  <c r="AE93" i="10" s="1"/>
  <c r="AC97" i="10"/>
  <c r="T92" i="6"/>
  <c r="L14" i="8"/>
  <c r="V14" i="8" s="1"/>
  <c r="W67" i="8"/>
  <c r="O93" i="10"/>
  <c r="AG93" i="10" s="1"/>
  <c r="AI94" i="10"/>
  <c r="AG97" i="10"/>
  <c r="I54" i="11"/>
  <c r="O54" i="11" s="1"/>
  <c r="J45" i="11"/>
  <c r="P45" i="11" s="1"/>
  <c r="J51" i="12"/>
  <c r="N51" i="12" s="1"/>
  <c r="M37" i="12"/>
  <c r="K78" i="11"/>
  <c r="AA78" i="11" s="1"/>
  <c r="J65" i="10"/>
  <c r="R65" i="10" s="1"/>
  <c r="I65" i="10"/>
  <c r="Q65" i="10" s="1"/>
  <c r="O80" i="11"/>
  <c r="AE80" i="11" s="1"/>
  <c r="O40" i="15"/>
  <c r="AG40" i="15" s="1"/>
  <c r="L46" i="15"/>
  <c r="AD46" i="15" s="1"/>
  <c r="P16" i="15"/>
  <c r="AH16" i="15" s="1"/>
  <c r="J23" i="16"/>
  <c r="T23" i="16" s="1"/>
  <c r="I12" i="16"/>
  <c r="S12" i="16" s="1"/>
  <c r="K16" i="16"/>
  <c r="U16" i="16" s="1"/>
  <c r="L23" i="16"/>
  <c r="V23" i="16" s="1"/>
  <c r="L28" i="16"/>
  <c r="V28" i="16" s="1"/>
  <c r="J13" i="16"/>
  <c r="T13" i="16" s="1"/>
  <c r="I13" i="16"/>
  <c r="S13" i="16" s="1"/>
  <c r="J15" i="16"/>
  <c r="T15" i="16" s="1"/>
  <c r="I15" i="16"/>
  <c r="S15" i="16" s="1"/>
  <c r="K35" i="15"/>
  <c r="AC35" i="15" s="1"/>
  <c r="O35" i="15"/>
  <c r="AG35" i="15" s="1"/>
  <c r="J35" i="15"/>
  <c r="AB35" i="15" s="1"/>
  <c r="I35" i="15"/>
  <c r="AA35" i="15" s="1"/>
  <c r="P35" i="15"/>
  <c r="AH35" i="15" s="1"/>
  <c r="M35" i="15"/>
  <c r="AE35" i="15" s="1"/>
  <c r="K47" i="15"/>
  <c r="AC47" i="15" s="1"/>
  <c r="O47" i="15"/>
  <c r="AG47" i="15" s="1"/>
  <c r="I47" i="15"/>
  <c r="AA47" i="15" s="1"/>
  <c r="M47" i="15"/>
  <c r="AE47" i="15" s="1"/>
  <c r="P47" i="15"/>
  <c r="AH47" i="15" s="1"/>
  <c r="J47" i="15"/>
  <c r="AB47" i="15" s="1"/>
  <c r="P42" i="15"/>
  <c r="AH42" i="15" s="1"/>
  <c r="I42" i="15"/>
  <c r="AA42" i="15" s="1"/>
  <c r="O42" i="15"/>
  <c r="AG42" i="15" s="1"/>
  <c r="M42" i="15"/>
  <c r="AE42" i="15" s="1"/>
  <c r="L42" i="15"/>
  <c r="AD42" i="15" s="1"/>
  <c r="K42" i="15"/>
  <c r="AC42" i="15" s="1"/>
  <c r="J42" i="15"/>
  <c r="AB42" i="15" s="1"/>
  <c r="AF42" i="15"/>
  <c r="N11" i="15"/>
  <c r="AF11" i="15" s="1"/>
  <c r="L11" i="15"/>
  <c r="AD11" i="15" s="1"/>
  <c r="K43" i="15"/>
  <c r="AC43" i="15" s="1"/>
  <c r="I43" i="15"/>
  <c r="AA43" i="15" s="1"/>
  <c r="O43" i="15"/>
  <c r="AG43" i="15" s="1"/>
  <c r="M43" i="15"/>
  <c r="AE43" i="15" s="1"/>
  <c r="J43" i="15"/>
  <c r="AB43" i="15" s="1"/>
  <c r="P43" i="15"/>
  <c r="AH43" i="15" s="1"/>
  <c r="P38" i="15"/>
  <c r="AH38" i="15" s="1"/>
  <c r="I38" i="15"/>
  <c r="AA38" i="15" s="1"/>
  <c r="AF38" i="15"/>
  <c r="M38" i="15"/>
  <c r="AE38" i="15" s="1"/>
  <c r="L38" i="15"/>
  <c r="AD38" i="15" s="1"/>
  <c r="K38" i="15"/>
  <c r="AC38" i="15" s="1"/>
  <c r="O38" i="15"/>
  <c r="AG38" i="15" s="1"/>
  <c r="J38" i="15"/>
  <c r="AB38" i="15" s="1"/>
  <c r="L47" i="15"/>
  <c r="AD47" i="15" s="1"/>
  <c r="K39" i="15"/>
  <c r="AC39" i="15" s="1"/>
  <c r="M39" i="15"/>
  <c r="AE39" i="15" s="1"/>
  <c r="O39" i="15"/>
  <c r="AG39" i="15" s="1"/>
  <c r="J39" i="15"/>
  <c r="AB39" i="15" s="1"/>
  <c r="P39" i="15"/>
  <c r="AH39" i="15" s="1"/>
  <c r="I39" i="15"/>
  <c r="AA39" i="15" s="1"/>
  <c r="K51" i="15"/>
  <c r="AC51" i="15" s="1"/>
  <c r="O51" i="15"/>
  <c r="AG51" i="15" s="1"/>
  <c r="P51" i="15"/>
  <c r="AH51" i="15" s="1"/>
  <c r="M51" i="15"/>
  <c r="AE51" i="15" s="1"/>
  <c r="J51" i="15"/>
  <c r="AB51" i="15" s="1"/>
  <c r="I51" i="15"/>
  <c r="AA51" i="15" s="1"/>
  <c r="AA107" i="10"/>
  <c r="AF107" i="10"/>
  <c r="AG103" i="10"/>
  <c r="AF103" i="10"/>
  <c r="I51" i="11"/>
  <c r="O51" i="11" s="1"/>
  <c r="Q51" i="11"/>
  <c r="J51" i="11"/>
  <c r="P51" i="11" s="1"/>
  <c r="T35" i="10"/>
  <c r="I35" i="10"/>
  <c r="Q35" i="10" s="1"/>
  <c r="J35" i="10"/>
  <c r="R35" i="10" s="1"/>
  <c r="K35" i="10"/>
  <c r="S35" i="10" s="1"/>
  <c r="Y64" i="9"/>
  <c r="I64" i="9"/>
  <c r="U64" i="9" s="1"/>
  <c r="N64" i="9"/>
  <c r="Z64" i="9" s="1"/>
  <c r="J64" i="9"/>
  <c r="V64" i="9" s="1"/>
  <c r="K64" i="9"/>
  <c r="W64" i="9" s="1"/>
  <c r="L64" i="9"/>
  <c r="X64" i="9" s="1"/>
  <c r="K26" i="10"/>
  <c r="S26" i="10" s="1"/>
  <c r="I26" i="10"/>
  <c r="Q26" i="10" s="1"/>
  <c r="T26" i="10"/>
  <c r="L13" i="8"/>
  <c r="AG104" i="10"/>
  <c r="AF104" i="10"/>
  <c r="AD98" i="10"/>
  <c r="AF98" i="10"/>
  <c r="AH94" i="10"/>
  <c r="AF94" i="10"/>
  <c r="L82" i="10"/>
  <c r="T82" i="10" s="1"/>
  <c r="I82" i="10"/>
  <c r="Q82" i="10" s="1"/>
  <c r="J82" i="10"/>
  <c r="R82" i="10" s="1"/>
  <c r="S82" i="10"/>
  <c r="K41" i="10"/>
  <c r="S41" i="10" s="1"/>
  <c r="T41" i="10"/>
  <c r="I41" i="10"/>
  <c r="Q41" i="10" s="1"/>
  <c r="J41" i="10"/>
  <c r="R41" i="10" s="1"/>
  <c r="J55" i="11"/>
  <c r="P55" i="11" s="1"/>
  <c r="Q55" i="11"/>
  <c r="I55" i="11"/>
  <c r="O55" i="11" s="1"/>
  <c r="I78" i="10"/>
  <c r="Q78" i="10" s="1"/>
  <c r="J78" i="10"/>
  <c r="R78" i="10" s="1"/>
  <c r="S78" i="10"/>
  <c r="L78" i="10"/>
  <c r="T78" i="10" s="1"/>
  <c r="S56" i="10"/>
  <c r="L56" i="10"/>
  <c r="T56" i="10" s="1"/>
  <c r="I56" i="10"/>
  <c r="Q56" i="10" s="1"/>
  <c r="J56" i="10"/>
  <c r="R56" i="10" s="1"/>
  <c r="I36" i="10"/>
  <c r="Q36" i="10" s="1"/>
  <c r="T36" i="10"/>
  <c r="J36" i="10"/>
  <c r="R36" i="10" s="1"/>
  <c r="K36" i="10"/>
  <c r="S36" i="10" s="1"/>
  <c r="Y68" i="9"/>
  <c r="N68" i="9"/>
  <c r="Z68" i="9" s="1"/>
  <c r="J68" i="9"/>
  <c r="V68" i="9" s="1"/>
  <c r="K68" i="9"/>
  <c r="W68" i="9" s="1"/>
  <c r="L68" i="9"/>
  <c r="X68" i="9" s="1"/>
  <c r="I68" i="9"/>
  <c r="U68" i="9" s="1"/>
  <c r="I44" i="10"/>
  <c r="Q44" i="10" s="1"/>
  <c r="J44" i="10"/>
  <c r="R44" i="10" s="1"/>
  <c r="K44" i="10"/>
  <c r="S44" i="10" s="1"/>
  <c r="T44" i="10"/>
  <c r="I14" i="10"/>
  <c r="Q14" i="10" s="1"/>
  <c r="J14" i="10"/>
  <c r="R14" i="10" s="1"/>
  <c r="K14" i="10"/>
  <c r="S14" i="10" s="1"/>
  <c r="T14" i="10"/>
  <c r="K27" i="10"/>
  <c r="S27" i="10" s="1"/>
  <c r="T27" i="10"/>
  <c r="I27" i="10"/>
  <c r="Q27" i="10" s="1"/>
  <c r="J27" i="10"/>
  <c r="R27" i="10" s="1"/>
  <c r="T72" i="6"/>
  <c r="T74" i="6"/>
  <c r="T82" i="6"/>
  <c r="Y35" i="7"/>
  <c r="L12" i="8"/>
  <c r="V12" i="8" s="1"/>
  <c r="L29" i="8"/>
  <c r="V29" i="8" s="1"/>
  <c r="AB103" i="10"/>
  <c r="AH107" i="10"/>
  <c r="AD105" i="10"/>
  <c r="AF105" i="10"/>
  <c r="AH101" i="10"/>
  <c r="AF101" i="10"/>
  <c r="AB95" i="10"/>
  <c r="AF95" i="10"/>
  <c r="J45" i="10"/>
  <c r="R45" i="10" s="1"/>
  <c r="K45" i="10"/>
  <c r="S45" i="10" s="1"/>
  <c r="I45" i="10"/>
  <c r="Q45" i="10" s="1"/>
  <c r="T45" i="10"/>
  <c r="I43" i="11"/>
  <c r="O43" i="11" s="1"/>
  <c r="Q43" i="11"/>
  <c r="S72" i="10"/>
  <c r="L72" i="10"/>
  <c r="T72" i="10" s="1"/>
  <c r="J72" i="10"/>
  <c r="R72" i="10" s="1"/>
  <c r="I72" i="10"/>
  <c r="Q72" i="10" s="1"/>
  <c r="Y72" i="9"/>
  <c r="N72" i="9"/>
  <c r="Z72" i="9" s="1"/>
  <c r="I72" i="9"/>
  <c r="U72" i="9" s="1"/>
  <c r="J72" i="9"/>
  <c r="V72" i="9" s="1"/>
  <c r="K72" i="9"/>
  <c r="W72" i="9" s="1"/>
  <c r="L72" i="9"/>
  <c r="X72" i="9" s="1"/>
  <c r="K17" i="10"/>
  <c r="S17" i="10" s="1"/>
  <c r="I17" i="10"/>
  <c r="Q17" i="10" s="1"/>
  <c r="T17" i="10"/>
  <c r="J17" i="10"/>
  <c r="R17" i="10" s="1"/>
  <c r="L11" i="8"/>
  <c r="V11" i="8" s="1"/>
  <c r="V84" i="8"/>
  <c r="W85" i="8"/>
  <c r="AH97" i="10"/>
  <c r="AE97" i="10"/>
  <c r="AC103" i="10"/>
  <c r="AA103" i="10"/>
  <c r="L23" i="12"/>
  <c r="T23" i="12" s="1"/>
  <c r="AG108" i="10"/>
  <c r="AF108" i="10"/>
  <c r="AB102" i="10"/>
  <c r="AF102" i="10"/>
  <c r="I47" i="11"/>
  <c r="O47" i="11" s="1"/>
  <c r="Q47" i="11"/>
  <c r="K33" i="10"/>
  <c r="S33" i="10" s="1"/>
  <c r="T33" i="10"/>
  <c r="J33" i="10"/>
  <c r="R33" i="10" s="1"/>
  <c r="I33" i="10"/>
  <c r="Q33" i="10" s="1"/>
  <c r="K24" i="10"/>
  <c r="S24" i="10" s="1"/>
  <c r="T24" i="10"/>
  <c r="J24" i="10"/>
  <c r="R24" i="10" s="1"/>
  <c r="I24" i="10"/>
  <c r="Q24" i="10" s="1"/>
  <c r="T89" i="6"/>
  <c r="L25" i="8"/>
  <c r="V25" i="8" s="1"/>
  <c r="R56" i="8"/>
  <c r="W70" i="8"/>
  <c r="V81" i="8"/>
  <c r="Q93" i="10"/>
  <c r="AI93" i="10" s="1"/>
  <c r="L93" i="10"/>
  <c r="AD93" i="10" s="1"/>
  <c r="AG94" i="10"/>
  <c r="AA95" i="10"/>
  <c r="AA97" i="10"/>
  <c r="AB97" i="10"/>
  <c r="AB98" i="10"/>
  <c r="AI103" i="10"/>
  <c r="AD103" i="10"/>
  <c r="AA101" i="10"/>
  <c r="AA105" i="10"/>
  <c r="U12" i="18"/>
  <c r="S23" i="12"/>
  <c r="I23" i="12"/>
  <c r="Q23" i="12" s="1"/>
  <c r="S24" i="12"/>
  <c r="S25" i="12"/>
  <c r="S17" i="12"/>
  <c r="S13" i="12"/>
  <c r="I13" i="18"/>
  <c r="S13" i="18" s="1"/>
  <c r="U13" i="18"/>
  <c r="I40" i="11"/>
  <c r="O40" i="11" s="1"/>
  <c r="AD95" i="10"/>
  <c r="AG95" i="10"/>
  <c r="AC95" i="10"/>
  <c r="AI98" i="10"/>
  <c r="AE98" i="10"/>
  <c r="AG98" i="10"/>
  <c r="AC98" i="10"/>
  <c r="AA98" i="10"/>
  <c r="AD101" i="10"/>
  <c r="AG101" i="10"/>
  <c r="AB101" i="10"/>
  <c r="AC101" i="10"/>
  <c r="AI101" i="10"/>
  <c r="AH102" i="10"/>
  <c r="AE104" i="10"/>
  <c r="AC104" i="10"/>
  <c r="AI104" i="10"/>
  <c r="AH104" i="10"/>
  <c r="AD104" i="10"/>
  <c r="AI105" i="10"/>
  <c r="AG105" i="10"/>
  <c r="AA108" i="10"/>
  <c r="AE108" i="10"/>
  <c r="AD108" i="10"/>
  <c r="AI107" i="10"/>
  <c r="AE107" i="10"/>
  <c r="AB107" i="10"/>
  <c r="AC107" i="10"/>
  <c r="AG107" i="10"/>
  <c r="AD107" i="10"/>
  <c r="Q55" i="8"/>
  <c r="Q51" i="8"/>
  <c r="S51" i="8"/>
  <c r="R51" i="8"/>
  <c r="Q47" i="8"/>
  <c r="Q58" i="8"/>
  <c r="R58" i="8"/>
  <c r="W66" i="8"/>
  <c r="L66" i="8"/>
  <c r="V66" i="8" s="1"/>
  <c r="I66" i="8"/>
  <c r="S66" i="8" s="1"/>
  <c r="J66" i="8"/>
  <c r="T66" i="8" s="1"/>
  <c r="K66" i="8"/>
  <c r="U66" i="8" s="1"/>
  <c r="W68" i="8"/>
  <c r="T68" i="8"/>
  <c r="U68" i="8"/>
  <c r="S68" i="8"/>
  <c r="AB35" i="7"/>
  <c r="Q41" i="8"/>
  <c r="Q45" i="8"/>
  <c r="R45" i="8"/>
  <c r="Q49" i="8"/>
  <c r="Q54" i="8"/>
  <c r="Q59" i="8"/>
  <c r="S59" i="8"/>
  <c r="R59" i="8"/>
  <c r="W73" i="8"/>
  <c r="U73" i="8"/>
  <c r="S73" i="8"/>
  <c r="T73" i="8"/>
  <c r="W77" i="8"/>
  <c r="S77" i="8"/>
  <c r="T77" i="8"/>
  <c r="Q40" i="8"/>
  <c r="S40" i="8"/>
  <c r="R40" i="8"/>
  <c r="T40" i="8"/>
  <c r="Q44" i="8"/>
  <c r="Q48" i="8"/>
  <c r="Q53" i="8"/>
  <c r="Q57" i="8"/>
  <c r="S57" i="8"/>
  <c r="Q43" i="8"/>
  <c r="W76" i="8"/>
  <c r="T76" i="8"/>
  <c r="U76" i="8"/>
  <c r="V76" i="8"/>
  <c r="W80" i="8"/>
  <c r="T80" i="8"/>
  <c r="U80" i="8"/>
  <c r="W84" i="8"/>
  <c r="W69" i="8"/>
  <c r="V69" i="8"/>
  <c r="S69" i="8"/>
  <c r="Q56" i="8"/>
  <c r="Q52" i="8"/>
  <c r="Q36" i="8"/>
  <c r="L36" i="8"/>
  <c r="T36" i="8" s="1"/>
  <c r="J36" i="8"/>
  <c r="R36" i="8" s="1"/>
  <c r="K36" i="8"/>
  <c r="S36" i="8" s="1"/>
  <c r="W81" i="8"/>
  <c r="T81" i="8"/>
  <c r="W75" i="8"/>
  <c r="U75" i="8"/>
  <c r="T81" i="6"/>
  <c r="T91" i="6"/>
  <c r="L20" i="8"/>
  <c r="L19" i="8"/>
  <c r="V19" i="8" s="1"/>
  <c r="K12" i="8"/>
  <c r="U12" i="8" s="1"/>
  <c r="M28" i="8"/>
  <c r="W28" i="8" s="1"/>
  <c r="I11" i="8"/>
  <c r="S11" i="8" s="1"/>
  <c r="T39" i="8"/>
  <c r="R39" i="8"/>
  <c r="V71" i="8"/>
  <c r="T83" i="6"/>
  <c r="T84" i="6"/>
  <c r="L15" i="8"/>
  <c r="V15" i="8" s="1"/>
  <c r="I12" i="8"/>
  <c r="S12" i="8" s="1"/>
  <c r="U67" i="8"/>
  <c r="T77" i="6"/>
  <c r="T79" i="6"/>
  <c r="T80" i="6"/>
  <c r="T87" i="6"/>
  <c r="U72" i="8"/>
  <c r="S70" i="8"/>
  <c r="J29" i="8"/>
  <c r="T29" i="8" s="1"/>
  <c r="I14" i="8"/>
  <c r="S14" i="8" s="1"/>
  <c r="M12" i="8"/>
  <c r="W12" i="8" s="1"/>
  <c r="L27" i="8"/>
  <c r="V70" i="8"/>
  <c r="T72" i="8"/>
  <c r="K28" i="8"/>
  <c r="U28" i="8" s="1"/>
  <c r="J28" i="8"/>
  <c r="T28" i="8" s="1"/>
  <c r="I28" i="8"/>
  <c r="S28" i="8" s="1"/>
  <c r="L17" i="8"/>
  <c r="V17" i="8" s="1"/>
  <c r="I20" i="8"/>
  <c r="S20" i="8" s="1"/>
  <c r="K22" i="8"/>
  <c r="U22" i="8" s="1"/>
  <c r="J25" i="8"/>
  <c r="T25" i="8" s="1"/>
  <c r="I22" i="8"/>
  <c r="S22" i="8" s="1"/>
  <c r="K23" i="8"/>
  <c r="U23" i="8" s="1"/>
  <c r="I23" i="8"/>
  <c r="S23" i="8" s="1"/>
  <c r="J22" i="8"/>
  <c r="T22" i="8" s="1"/>
  <c r="M22" i="8"/>
  <c r="W22" i="8" s="1"/>
  <c r="J23" i="8"/>
  <c r="T23" i="8" s="1"/>
  <c r="J21" i="8"/>
  <c r="T21" i="8" s="1"/>
  <c r="I21" i="8"/>
  <c r="S21" i="8" s="1"/>
  <c r="M21" i="8"/>
  <c r="W21" i="8" s="1"/>
  <c r="K21" i="8"/>
  <c r="U21" i="8" s="1"/>
  <c r="M26" i="8"/>
  <c r="W26" i="8" s="1"/>
  <c r="M30" i="8"/>
  <c r="W30" i="8" s="1"/>
  <c r="I30" i="8"/>
  <c r="S30" i="8" s="1"/>
  <c r="K30" i="8"/>
  <c r="U30" i="8" s="1"/>
  <c r="K24" i="8"/>
  <c r="U24" i="8" s="1"/>
  <c r="J18" i="8"/>
  <c r="T18" i="8" s="1"/>
  <c r="I18" i="8"/>
  <c r="S18" i="8" s="1"/>
  <c r="M18" i="8"/>
  <c r="W18" i="8" s="1"/>
  <c r="K18" i="8"/>
  <c r="U18" i="8" s="1"/>
  <c r="J11" i="8"/>
  <c r="T11" i="8" s="1"/>
  <c r="L16" i="8"/>
  <c r="V16" i="8" s="1"/>
  <c r="W93" i="6"/>
  <c r="V93" i="6"/>
  <c r="S71" i="6"/>
  <c r="V71" i="6"/>
  <c r="U72" i="6"/>
  <c r="S73" i="6"/>
  <c r="V73" i="6"/>
  <c r="S74" i="6"/>
  <c r="W74" i="6"/>
  <c r="V74" i="6"/>
  <c r="U74" i="6"/>
  <c r="U81" i="6"/>
  <c r="V81" i="6"/>
  <c r="W94" i="6"/>
  <c r="V94" i="6"/>
  <c r="U94" i="6"/>
  <c r="V90" i="6"/>
  <c r="U90" i="6"/>
  <c r="U89" i="6"/>
  <c r="S89" i="6"/>
  <c r="U76" i="6"/>
  <c r="S76" i="6"/>
  <c r="W76" i="6"/>
  <c r="V92" i="6"/>
  <c r="U92" i="6"/>
  <c r="W92" i="6"/>
  <c r="S77" i="6"/>
  <c r="W77" i="6"/>
  <c r="V77" i="6"/>
  <c r="S79" i="6"/>
  <c r="W80" i="6"/>
  <c r="W87" i="6"/>
  <c r="V87" i="6"/>
  <c r="Z35" i="7"/>
  <c r="AD35" i="7"/>
  <c r="AF35" i="7"/>
  <c r="AA35" i="7"/>
  <c r="AC35" i="7"/>
  <c r="E75" i="6"/>
  <c r="M47" i="6"/>
  <c r="M48" i="6"/>
  <c r="M49" i="6"/>
  <c r="M50" i="6"/>
  <c r="Y50" i="6" s="1"/>
  <c r="M51" i="6"/>
  <c r="Y51" i="6" s="1"/>
  <c r="M52" i="6"/>
  <c r="M53" i="6"/>
  <c r="Y53" i="6" s="1"/>
  <c r="M54" i="6"/>
  <c r="Y54" i="6" s="1"/>
  <c r="M55" i="6"/>
  <c r="Y55" i="6" s="1"/>
  <c r="M56" i="6"/>
  <c r="M57" i="6"/>
  <c r="Y57" i="6" s="1"/>
  <c r="M58" i="6"/>
  <c r="Y58" i="6" s="1"/>
  <c r="M59" i="6"/>
  <c r="Y59" i="6" s="1"/>
  <c r="M60" i="6"/>
  <c r="M61" i="6"/>
  <c r="Y61" i="6" s="1"/>
  <c r="M62" i="6"/>
  <c r="Y62" i="6" s="1"/>
  <c r="M63" i="6"/>
  <c r="M64" i="6"/>
  <c r="M65" i="6"/>
  <c r="M46" i="6"/>
  <c r="K38" i="6"/>
  <c r="K39" i="6"/>
  <c r="K40" i="6"/>
  <c r="H12" i="6"/>
  <c r="H13" i="6"/>
  <c r="H14" i="6"/>
  <c r="H15" i="6"/>
  <c r="H11" i="6"/>
  <c r="H17" i="6"/>
  <c r="H18" i="6"/>
  <c r="H19" i="6"/>
  <c r="H20" i="6"/>
  <c r="H16" i="6"/>
  <c r="H22" i="6"/>
  <c r="H23" i="6"/>
  <c r="H24" i="6"/>
  <c r="H25" i="6"/>
  <c r="H21" i="6"/>
  <c r="H27" i="6"/>
  <c r="H28" i="6"/>
  <c r="H29" i="6"/>
  <c r="H30" i="6"/>
  <c r="H26" i="6"/>
  <c r="K26" i="6" s="1"/>
  <c r="H32" i="6"/>
  <c r="H33" i="6"/>
  <c r="H34" i="6"/>
  <c r="H35" i="6"/>
  <c r="H31" i="6"/>
  <c r="E35" i="6"/>
  <c r="E30" i="6"/>
  <c r="K30" i="6" s="1"/>
  <c r="E34" i="6"/>
  <c r="E29" i="6"/>
  <c r="K29" i="6" s="1"/>
  <c r="E33" i="6"/>
  <c r="K33" i="6" s="1"/>
  <c r="E28" i="6"/>
  <c r="E36" i="6"/>
  <c r="K36" i="6" s="1"/>
  <c r="E31" i="6"/>
  <c r="E37" i="6"/>
  <c r="E32" i="6"/>
  <c r="E27" i="6"/>
  <c r="K27" i="6" s="1"/>
  <c r="E25" i="6"/>
  <c r="E24" i="6"/>
  <c r="E23" i="6"/>
  <c r="K23" i="6" s="1"/>
  <c r="E22" i="6"/>
  <c r="E21" i="6"/>
  <c r="E20" i="6"/>
  <c r="E19" i="6"/>
  <c r="K19" i="6" s="1"/>
  <c r="E18" i="6"/>
  <c r="E17" i="6"/>
  <c r="E16" i="6"/>
  <c r="K16" i="6" s="1"/>
  <c r="E15" i="6"/>
  <c r="K15" i="6" s="1"/>
  <c r="E14" i="6"/>
  <c r="E13" i="6"/>
  <c r="K13" i="6" s="1"/>
  <c r="E12" i="6"/>
  <c r="E11" i="6"/>
  <c r="E134" i="5"/>
  <c r="E128" i="5"/>
  <c r="E122" i="5"/>
  <c r="E116" i="5"/>
  <c r="E130" i="5"/>
  <c r="E124" i="5"/>
  <c r="E118" i="5"/>
  <c r="E112" i="5"/>
  <c r="E129" i="5"/>
  <c r="E123" i="5"/>
  <c r="E117" i="5"/>
  <c r="E111" i="5"/>
  <c r="E133" i="5"/>
  <c r="E127" i="5"/>
  <c r="E115" i="5"/>
  <c r="H124" i="5"/>
  <c r="H125" i="5"/>
  <c r="O125" i="5" s="1"/>
  <c r="H126" i="5"/>
  <c r="H127" i="5"/>
  <c r="H128" i="5"/>
  <c r="O128" i="5" s="1"/>
  <c r="H123" i="5"/>
  <c r="H96" i="5"/>
  <c r="H130" i="5"/>
  <c r="H131" i="5"/>
  <c r="O131" i="5" s="1"/>
  <c r="H132" i="5"/>
  <c r="H133" i="5"/>
  <c r="H134" i="5"/>
  <c r="H129" i="5"/>
  <c r="O129" i="5" s="1"/>
  <c r="H105" i="5"/>
  <c r="H112" i="5"/>
  <c r="H113" i="5"/>
  <c r="O113" i="5" s="1"/>
  <c r="H114" i="5"/>
  <c r="O114" i="5" s="1"/>
  <c r="H115" i="5"/>
  <c r="O115" i="5" s="1"/>
  <c r="H116" i="5"/>
  <c r="H111" i="5"/>
  <c r="H118" i="5"/>
  <c r="O118" i="5" s="1"/>
  <c r="H119" i="5"/>
  <c r="O119" i="5" s="1"/>
  <c r="H120" i="5"/>
  <c r="O120" i="5" s="1"/>
  <c r="H121" i="5"/>
  <c r="H122" i="5"/>
  <c r="H117" i="5"/>
  <c r="H71" i="5"/>
  <c r="H72" i="5"/>
  <c r="H73" i="5"/>
  <c r="M73" i="5" s="1"/>
  <c r="N73" i="5" s="1"/>
  <c r="H74" i="5"/>
  <c r="H75" i="5"/>
  <c r="H76" i="5"/>
  <c r="H77" i="5"/>
  <c r="H78" i="5"/>
  <c r="H70" i="5"/>
  <c r="H97" i="5"/>
  <c r="H99" i="5"/>
  <c r="H100" i="5"/>
  <c r="H101" i="5"/>
  <c r="H102" i="5"/>
  <c r="H103" i="5"/>
  <c r="H104" i="5"/>
  <c r="H98" i="5"/>
  <c r="H58" i="4"/>
  <c r="H89" i="5"/>
  <c r="M89" i="5" s="1"/>
  <c r="N89" i="5" s="1"/>
  <c r="H90" i="5"/>
  <c r="H91" i="5"/>
  <c r="M91" i="5" s="1"/>
  <c r="N91" i="5" s="1"/>
  <c r="H92" i="5"/>
  <c r="H93" i="5"/>
  <c r="H94" i="5"/>
  <c r="H95" i="5"/>
  <c r="H88" i="5"/>
  <c r="H51" i="4"/>
  <c r="H80" i="5"/>
  <c r="H81" i="5"/>
  <c r="H82" i="5"/>
  <c r="H83" i="5"/>
  <c r="H84" i="5"/>
  <c r="H85" i="5"/>
  <c r="H86" i="5"/>
  <c r="H87" i="5"/>
  <c r="M87" i="5" s="1"/>
  <c r="N87" i="5" s="1"/>
  <c r="H79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2" i="5"/>
  <c r="E71" i="5"/>
  <c r="E70" i="5"/>
  <c r="E64" i="5"/>
  <c r="E55" i="5"/>
  <c r="E46" i="5"/>
  <c r="E37" i="5"/>
  <c r="E28" i="5"/>
  <c r="E19" i="5"/>
  <c r="E63" i="5"/>
  <c r="J63" i="5" s="1"/>
  <c r="E54" i="5"/>
  <c r="E45" i="5"/>
  <c r="E36" i="5"/>
  <c r="E27" i="5"/>
  <c r="E18" i="5"/>
  <c r="E62" i="5"/>
  <c r="E53" i="5"/>
  <c r="E44" i="5"/>
  <c r="E35" i="5"/>
  <c r="E26" i="5"/>
  <c r="E17" i="5"/>
  <c r="E61" i="5"/>
  <c r="E52" i="5"/>
  <c r="E43" i="5"/>
  <c r="E34" i="5"/>
  <c r="E25" i="5"/>
  <c r="E16" i="5"/>
  <c r="E60" i="5"/>
  <c r="E51" i="5"/>
  <c r="E42" i="5"/>
  <c r="E33" i="5"/>
  <c r="E24" i="5"/>
  <c r="E15" i="5"/>
  <c r="E58" i="5"/>
  <c r="E49" i="5"/>
  <c r="E40" i="5"/>
  <c r="E31" i="5"/>
  <c r="E22" i="5"/>
  <c r="E13" i="5"/>
  <c r="E57" i="5"/>
  <c r="E48" i="5"/>
  <c r="E39" i="5"/>
  <c r="E30" i="5"/>
  <c r="E21" i="5"/>
  <c r="E12" i="5"/>
  <c r="E56" i="5"/>
  <c r="J56" i="5" s="1"/>
  <c r="E47" i="5"/>
  <c r="E38" i="5"/>
  <c r="E29" i="5"/>
  <c r="E20" i="5"/>
  <c r="E11" i="5"/>
  <c r="H40" i="5"/>
  <c r="H41" i="5"/>
  <c r="H42" i="5"/>
  <c r="H43" i="5"/>
  <c r="H44" i="5"/>
  <c r="H45" i="5"/>
  <c r="H46" i="5"/>
  <c r="H39" i="5"/>
  <c r="H38" i="5"/>
  <c r="H31" i="5"/>
  <c r="H32" i="5"/>
  <c r="H33" i="5"/>
  <c r="H34" i="5"/>
  <c r="J34" i="5" s="1"/>
  <c r="H35" i="5"/>
  <c r="H36" i="5"/>
  <c r="H37" i="5"/>
  <c r="H30" i="5"/>
  <c r="H29" i="5"/>
  <c r="H22" i="5"/>
  <c r="H23" i="5"/>
  <c r="H24" i="5"/>
  <c r="H25" i="5"/>
  <c r="J25" i="5" s="1"/>
  <c r="R25" i="5" s="1"/>
  <c r="H26" i="5"/>
  <c r="H27" i="5"/>
  <c r="H28" i="5"/>
  <c r="H21" i="5"/>
  <c r="H20" i="5"/>
  <c r="H13" i="5"/>
  <c r="H14" i="5"/>
  <c r="H15" i="5"/>
  <c r="H16" i="5"/>
  <c r="H17" i="5"/>
  <c r="H18" i="5"/>
  <c r="H19" i="5"/>
  <c r="H12" i="5"/>
  <c r="H11" i="5"/>
  <c r="H55" i="5"/>
  <c r="H54" i="5"/>
  <c r="H53" i="5"/>
  <c r="H52" i="5"/>
  <c r="H51" i="5"/>
  <c r="J51" i="5" s="1"/>
  <c r="H50" i="5"/>
  <c r="H49" i="5"/>
  <c r="H48" i="5"/>
  <c r="H47" i="5"/>
  <c r="E41" i="5"/>
  <c r="H57" i="4"/>
  <c r="H49" i="4"/>
  <c r="E23" i="5"/>
  <c r="H46" i="4"/>
  <c r="H47" i="4"/>
  <c r="H48" i="4"/>
  <c r="H50" i="4"/>
  <c r="H52" i="4"/>
  <c r="H53" i="4"/>
  <c r="H54" i="4"/>
  <c r="H55" i="4"/>
  <c r="H56" i="4"/>
  <c r="H59" i="4"/>
  <c r="H60" i="4"/>
  <c r="H61" i="4"/>
  <c r="H62" i="4"/>
  <c r="H63" i="4"/>
  <c r="H64" i="4"/>
  <c r="E64" i="4"/>
  <c r="E63" i="4"/>
  <c r="E62" i="4"/>
  <c r="E61" i="4"/>
  <c r="E60" i="4"/>
  <c r="E59" i="4"/>
  <c r="E58" i="4"/>
  <c r="E57" i="4"/>
  <c r="E56" i="4"/>
  <c r="E55" i="4"/>
  <c r="E52" i="4"/>
  <c r="E51" i="4"/>
  <c r="E50" i="4"/>
  <c r="E49" i="4"/>
  <c r="E48" i="4"/>
  <c r="E47" i="4"/>
  <c r="E46" i="4"/>
  <c r="E45" i="4"/>
  <c r="E44" i="4"/>
  <c r="E43" i="4"/>
  <c r="E42" i="4"/>
  <c r="E41" i="4"/>
  <c r="H42" i="4"/>
  <c r="H43" i="4"/>
  <c r="H44" i="4"/>
  <c r="H45" i="4"/>
  <c r="J45" i="4" s="1"/>
  <c r="P45" i="4" s="1"/>
  <c r="H41" i="4"/>
  <c r="H34" i="4"/>
  <c r="H35" i="4"/>
  <c r="H36" i="4"/>
  <c r="H37" i="4"/>
  <c r="H38" i="4"/>
  <c r="H39" i="4"/>
  <c r="H40" i="4"/>
  <c r="H33" i="4"/>
  <c r="E40" i="4"/>
  <c r="E39" i="4"/>
  <c r="E38" i="4"/>
  <c r="E37" i="4"/>
  <c r="E36" i="4"/>
  <c r="E35" i="4"/>
  <c r="E34" i="4"/>
  <c r="E33" i="4"/>
  <c r="H27" i="4"/>
  <c r="H66" i="3"/>
  <c r="H26" i="4"/>
  <c r="H61" i="3"/>
  <c r="H25" i="4"/>
  <c r="H24" i="4"/>
  <c r="E27" i="4"/>
  <c r="E26" i="4"/>
  <c r="E25" i="4"/>
  <c r="E24" i="4"/>
  <c r="H18" i="4"/>
  <c r="H17" i="4"/>
  <c r="H16" i="4"/>
  <c r="H15" i="4"/>
  <c r="H14" i="4"/>
  <c r="H13" i="4"/>
  <c r="H12" i="4"/>
  <c r="H11" i="4"/>
  <c r="E13" i="4"/>
  <c r="E14" i="4"/>
  <c r="E15" i="4"/>
  <c r="E16" i="4"/>
  <c r="E17" i="4"/>
  <c r="E18" i="4"/>
  <c r="E12" i="4"/>
  <c r="J12" i="4" s="1"/>
  <c r="R12" i="4" s="1"/>
  <c r="E11" i="4"/>
  <c r="J11" i="4" s="1"/>
  <c r="R11" i="4" s="1"/>
  <c r="E106" i="3"/>
  <c r="E98" i="3"/>
  <c r="E90" i="3"/>
  <c r="E82" i="3"/>
  <c r="E105" i="3"/>
  <c r="E97" i="3"/>
  <c r="E89" i="3"/>
  <c r="E81" i="3"/>
  <c r="E104" i="3"/>
  <c r="E96" i="3"/>
  <c r="E88" i="3"/>
  <c r="E80" i="3"/>
  <c r="E102" i="3"/>
  <c r="E94" i="3"/>
  <c r="E86" i="3"/>
  <c r="E78" i="3"/>
  <c r="E101" i="3"/>
  <c r="E93" i="3"/>
  <c r="E85" i="3"/>
  <c r="E77" i="3"/>
  <c r="E107" i="3"/>
  <c r="E99" i="3"/>
  <c r="E91" i="3"/>
  <c r="E83" i="3"/>
  <c r="E100" i="3"/>
  <c r="J100" i="3" s="1"/>
  <c r="T100" i="3" s="1"/>
  <c r="E92" i="3"/>
  <c r="E84" i="3"/>
  <c r="E76" i="3"/>
  <c r="E103" i="3"/>
  <c r="E95" i="3"/>
  <c r="E87" i="3"/>
  <c r="E79" i="3"/>
  <c r="J102" i="3"/>
  <c r="T102" i="3" s="1"/>
  <c r="H103" i="3"/>
  <c r="H104" i="3"/>
  <c r="H105" i="3"/>
  <c r="H106" i="3"/>
  <c r="H107" i="3"/>
  <c r="H101" i="3"/>
  <c r="H67" i="3"/>
  <c r="H94" i="3"/>
  <c r="H95" i="3"/>
  <c r="H96" i="3"/>
  <c r="H97" i="3"/>
  <c r="H98" i="3"/>
  <c r="J98" i="3" s="1"/>
  <c r="T98" i="3" s="1"/>
  <c r="H99" i="3"/>
  <c r="H93" i="3"/>
  <c r="H92" i="3"/>
  <c r="H62" i="3"/>
  <c r="H86" i="3"/>
  <c r="H87" i="3"/>
  <c r="H88" i="3"/>
  <c r="H89" i="3"/>
  <c r="H90" i="3"/>
  <c r="J90" i="3" s="1"/>
  <c r="T90" i="3" s="1"/>
  <c r="H91" i="3"/>
  <c r="H85" i="3"/>
  <c r="H84" i="3"/>
  <c r="H78" i="3"/>
  <c r="H79" i="3"/>
  <c r="J79" i="3" s="1"/>
  <c r="T79" i="3" s="1"/>
  <c r="H80" i="3"/>
  <c r="H81" i="3"/>
  <c r="H82" i="3"/>
  <c r="H83" i="3"/>
  <c r="J83" i="3" s="1"/>
  <c r="T83" i="3" s="1"/>
  <c r="H77" i="3"/>
  <c r="H76" i="3"/>
  <c r="H70" i="3"/>
  <c r="E70" i="3"/>
  <c r="H69" i="3"/>
  <c r="E69" i="3"/>
  <c r="H68" i="3"/>
  <c r="E68" i="3"/>
  <c r="E67" i="3"/>
  <c r="L67" i="3" s="1"/>
  <c r="AB67" i="3" s="1"/>
  <c r="E66" i="3"/>
  <c r="H65" i="3"/>
  <c r="E65" i="3"/>
  <c r="H64" i="3"/>
  <c r="E64" i="3"/>
  <c r="H63" i="3"/>
  <c r="E63" i="3"/>
  <c r="E62" i="3"/>
  <c r="E61" i="3"/>
  <c r="H60" i="3"/>
  <c r="E60" i="3"/>
  <c r="H59" i="3"/>
  <c r="E59" i="3"/>
  <c r="H58" i="3"/>
  <c r="E58" i="3"/>
  <c r="H57" i="3"/>
  <c r="E57" i="3"/>
  <c r="H56" i="3"/>
  <c r="E56" i="3"/>
  <c r="H55" i="3"/>
  <c r="E55" i="3"/>
  <c r="H54" i="3"/>
  <c r="E54" i="3"/>
  <c r="H53" i="3"/>
  <c r="E53" i="3"/>
  <c r="H52" i="3"/>
  <c r="E52" i="3"/>
  <c r="H51" i="3"/>
  <c r="E51" i="3"/>
  <c r="H18" i="3"/>
  <c r="H19" i="3"/>
  <c r="H20" i="3"/>
  <c r="H17" i="3"/>
  <c r="H16" i="3"/>
  <c r="H23" i="3"/>
  <c r="H24" i="3"/>
  <c r="H25" i="3"/>
  <c r="H22" i="3"/>
  <c r="H21" i="3"/>
  <c r="H33" i="3"/>
  <c r="H34" i="3"/>
  <c r="H35" i="3"/>
  <c r="H32" i="3"/>
  <c r="H31" i="3"/>
  <c r="H43" i="3"/>
  <c r="H44" i="3"/>
  <c r="H45" i="3"/>
  <c r="H42" i="3"/>
  <c r="H41" i="3"/>
  <c r="H38" i="3"/>
  <c r="H39" i="3"/>
  <c r="H40" i="3"/>
  <c r="H37" i="3"/>
  <c r="H36" i="3"/>
  <c r="H13" i="3"/>
  <c r="H14" i="3"/>
  <c r="H15" i="3"/>
  <c r="H11" i="3"/>
  <c r="H28" i="3"/>
  <c r="H29" i="3"/>
  <c r="H30" i="3"/>
  <c r="H27" i="3"/>
  <c r="H26" i="3"/>
  <c r="E45" i="3"/>
  <c r="E44" i="3"/>
  <c r="E43" i="3"/>
  <c r="E42" i="3"/>
  <c r="E41" i="3"/>
  <c r="E40" i="3"/>
  <c r="E39" i="3"/>
  <c r="J39" i="3" s="1"/>
  <c r="I39" i="3" s="1"/>
  <c r="E38" i="3"/>
  <c r="E37" i="3"/>
  <c r="E36" i="3"/>
  <c r="E35" i="3"/>
  <c r="E34" i="3"/>
  <c r="E33" i="3"/>
  <c r="E32" i="3"/>
  <c r="E31" i="3"/>
  <c r="J31" i="3" s="1"/>
  <c r="I31" i="3" s="1"/>
  <c r="E30" i="3"/>
  <c r="E29" i="3"/>
  <c r="E28" i="3"/>
  <c r="E27" i="3"/>
  <c r="E26" i="3"/>
  <c r="E25" i="3"/>
  <c r="E24" i="3"/>
  <c r="E23" i="3"/>
  <c r="J23" i="3" s="1"/>
  <c r="I23" i="3" s="1"/>
  <c r="E22" i="3"/>
  <c r="E21" i="3"/>
  <c r="E20" i="3"/>
  <c r="E19" i="3"/>
  <c r="E18" i="3"/>
  <c r="E17" i="3"/>
  <c r="E16" i="3"/>
  <c r="E15" i="3"/>
  <c r="E14" i="3"/>
  <c r="E13" i="3"/>
  <c r="E12" i="3"/>
  <c r="J12" i="3" s="1"/>
  <c r="I12" i="3" s="1"/>
  <c r="E11" i="3"/>
  <c r="H48" i="2"/>
  <c r="H49" i="2"/>
  <c r="H50" i="2"/>
  <c r="H47" i="2"/>
  <c r="H46" i="2"/>
  <c r="H53" i="2"/>
  <c r="H54" i="2"/>
  <c r="H55" i="2"/>
  <c r="H52" i="2"/>
  <c r="H51" i="2"/>
  <c r="H75" i="2"/>
  <c r="H76" i="2"/>
  <c r="J76" i="2" s="1"/>
  <c r="H74" i="2"/>
  <c r="J74" i="2" s="1"/>
  <c r="H73" i="2"/>
  <c r="H71" i="2"/>
  <c r="J71" i="2" s="1"/>
  <c r="H72" i="2"/>
  <c r="H70" i="2"/>
  <c r="H69" i="2"/>
  <c r="E73" i="2"/>
  <c r="E69" i="2"/>
  <c r="E65" i="2"/>
  <c r="E61" i="2"/>
  <c r="E74" i="2"/>
  <c r="E70" i="2"/>
  <c r="E66" i="2"/>
  <c r="E62" i="2"/>
  <c r="E75" i="2"/>
  <c r="E67" i="2"/>
  <c r="E63" i="2"/>
  <c r="E76" i="2"/>
  <c r="E72" i="2"/>
  <c r="E68" i="2"/>
  <c r="E64" i="2"/>
  <c r="E71" i="2"/>
  <c r="H68" i="2"/>
  <c r="J68" i="2" s="1"/>
  <c r="H67" i="2"/>
  <c r="J67" i="2" s="1"/>
  <c r="H66" i="2"/>
  <c r="J66" i="2" s="1"/>
  <c r="H65" i="2"/>
  <c r="H64" i="2"/>
  <c r="J64" i="2" s="1"/>
  <c r="H63" i="2"/>
  <c r="H62" i="2"/>
  <c r="H61" i="2"/>
  <c r="J61" i="2" s="1"/>
  <c r="K21" i="6" l="1"/>
  <c r="M11" i="8"/>
  <c r="W11" i="8" s="1"/>
  <c r="K14" i="8"/>
  <c r="U14" i="8" s="1"/>
  <c r="K11" i="8"/>
  <c r="U11" i="8" s="1"/>
  <c r="L88" i="6"/>
  <c r="V88" i="6" s="1"/>
  <c r="I44" i="7"/>
  <c r="M44" i="7" s="1"/>
  <c r="N44" i="7"/>
  <c r="J65" i="2"/>
  <c r="J73" i="2"/>
  <c r="J29" i="3"/>
  <c r="I29" i="3" s="1"/>
  <c r="J37" i="3"/>
  <c r="I37" i="3" s="1"/>
  <c r="Q37" i="3" s="1"/>
  <c r="J55" i="5"/>
  <c r="I55" i="5" s="1"/>
  <c r="Q55" i="5" s="1"/>
  <c r="J30" i="8"/>
  <c r="T30" i="8" s="1"/>
  <c r="T88" i="6"/>
  <c r="M14" i="8"/>
  <c r="W14" i="8" s="1"/>
  <c r="K20" i="8"/>
  <c r="U20" i="8" s="1"/>
  <c r="V20" i="8"/>
  <c r="M23" i="8"/>
  <c r="W23" i="8" s="1"/>
  <c r="V23" i="8"/>
  <c r="K88" i="6"/>
  <c r="U88" i="6" s="1"/>
  <c r="I41" i="7"/>
  <c r="M41" i="7" s="1"/>
  <c r="K25" i="6"/>
  <c r="I25" i="6" s="1"/>
  <c r="Q25" i="6" s="1"/>
  <c r="J69" i="2"/>
  <c r="J17" i="3"/>
  <c r="I17" i="3" s="1"/>
  <c r="J25" i="3"/>
  <c r="I25" i="3" s="1"/>
  <c r="J41" i="3"/>
  <c r="I41" i="3" s="1"/>
  <c r="O117" i="5"/>
  <c r="L117" i="5" s="1"/>
  <c r="AD117" i="5" s="1"/>
  <c r="I26" i="8"/>
  <c r="S26" i="8" s="1"/>
  <c r="J19" i="8"/>
  <c r="T19" i="8" s="1"/>
  <c r="J14" i="8"/>
  <c r="T14" i="8" s="1"/>
  <c r="M13" i="8"/>
  <c r="W13" i="8" s="1"/>
  <c r="V13" i="8"/>
  <c r="N14" i="7"/>
  <c r="J75" i="2"/>
  <c r="J106" i="3"/>
  <c r="T106" i="3" s="1"/>
  <c r="AB32" i="7"/>
  <c r="J62" i="2"/>
  <c r="M62" i="2" s="1"/>
  <c r="W62" i="2" s="1"/>
  <c r="J70" i="2"/>
  <c r="T70" i="2" s="1"/>
  <c r="J26" i="3"/>
  <c r="I26" i="3" s="1"/>
  <c r="J43" i="4"/>
  <c r="P43" i="4" s="1"/>
  <c r="J17" i="5"/>
  <c r="M83" i="5"/>
  <c r="N83" i="5" s="1"/>
  <c r="M77" i="5"/>
  <c r="N77" i="5" s="1"/>
  <c r="Z77" i="5" s="1"/>
  <c r="O122" i="5"/>
  <c r="J122" i="5" s="1"/>
  <c r="AB122" i="5" s="1"/>
  <c r="O124" i="5"/>
  <c r="N124" i="5" s="1"/>
  <c r="AF124" i="5" s="1"/>
  <c r="K11" i="6"/>
  <c r="I11" i="6" s="1"/>
  <c r="Q11" i="6" s="1"/>
  <c r="J26" i="8"/>
  <c r="T26" i="8" s="1"/>
  <c r="I25" i="8"/>
  <c r="S25" i="8" s="1"/>
  <c r="I88" i="6"/>
  <c r="S88" i="6" s="1"/>
  <c r="I20" i="7"/>
  <c r="M20" i="7" s="1"/>
  <c r="K17" i="6"/>
  <c r="I17" i="6" s="1"/>
  <c r="Q17" i="6" s="1"/>
  <c r="M29" i="8"/>
  <c r="W29" i="8" s="1"/>
  <c r="J63" i="2"/>
  <c r="T63" i="2" s="1"/>
  <c r="J72" i="2"/>
  <c r="M72" i="2" s="1"/>
  <c r="W72" i="2" s="1"/>
  <c r="J86" i="3"/>
  <c r="T86" i="3" s="1"/>
  <c r="K26" i="8"/>
  <c r="U26" i="8" s="1"/>
  <c r="I19" i="8"/>
  <c r="S19" i="8" s="1"/>
  <c r="M27" i="8"/>
  <c r="W27" i="8" s="1"/>
  <c r="V27" i="8"/>
  <c r="K29" i="8"/>
  <c r="U29" i="8" s="1"/>
  <c r="J33" i="7"/>
  <c r="Z33" i="7" s="1"/>
  <c r="M33" i="7"/>
  <c r="AC33" i="7" s="1"/>
  <c r="P33" i="7"/>
  <c r="AF33" i="7" s="1"/>
  <c r="I33" i="7"/>
  <c r="Y33" i="7" s="1"/>
  <c r="O33" i="7"/>
  <c r="K33" i="7"/>
  <c r="N33" i="7"/>
  <c r="AD33" i="7" s="1"/>
  <c r="P34" i="7"/>
  <c r="AF34" i="7" s="1"/>
  <c r="I34" i="7"/>
  <c r="Y34" i="7" s="1"/>
  <c r="O34" i="7"/>
  <c r="AE34" i="7" s="1"/>
  <c r="K34" i="7"/>
  <c r="AA34" i="7" s="1"/>
  <c r="N34" i="7"/>
  <c r="AD34" i="7" s="1"/>
  <c r="M34" i="7"/>
  <c r="J34" i="7"/>
  <c r="Z34" i="7" s="1"/>
  <c r="I16" i="7"/>
  <c r="M16" i="7" s="1"/>
  <c r="N16" i="7"/>
  <c r="I26" i="7"/>
  <c r="M26" i="7" s="1"/>
  <c r="N26" i="7"/>
  <c r="I22" i="7"/>
  <c r="M22" i="7" s="1"/>
  <c r="N22" i="7"/>
  <c r="J57" i="8"/>
  <c r="R57" i="8" s="1"/>
  <c r="J44" i="8"/>
  <c r="R44" i="8" s="1"/>
  <c r="J14" i="3"/>
  <c r="I14" i="3" s="1"/>
  <c r="J16" i="3"/>
  <c r="I16" i="3" s="1"/>
  <c r="L16" i="3" s="1"/>
  <c r="T16" i="3" s="1"/>
  <c r="J36" i="3"/>
  <c r="I36" i="3" s="1"/>
  <c r="Q36" i="3" s="1"/>
  <c r="J42" i="3"/>
  <c r="I42" i="3" s="1"/>
  <c r="Q42" i="3" s="1"/>
  <c r="J44" i="3"/>
  <c r="I44" i="3" s="1"/>
  <c r="J18" i="4"/>
  <c r="J46" i="5"/>
  <c r="J11" i="5"/>
  <c r="J13" i="5"/>
  <c r="M79" i="5"/>
  <c r="N79" i="5" s="1"/>
  <c r="M84" i="5"/>
  <c r="N84" i="5" s="1"/>
  <c r="M80" i="5"/>
  <c r="N80" i="5" s="1"/>
  <c r="Z80" i="5" s="1"/>
  <c r="M88" i="5"/>
  <c r="N88" i="5" s="1"/>
  <c r="M104" i="5"/>
  <c r="N104" i="5" s="1"/>
  <c r="M100" i="5"/>
  <c r="N100" i="5" s="1"/>
  <c r="M97" i="5"/>
  <c r="N97" i="5" s="1"/>
  <c r="M76" i="5"/>
  <c r="N76" i="5" s="1"/>
  <c r="M72" i="5"/>
  <c r="N72" i="5" s="1"/>
  <c r="M105" i="5"/>
  <c r="N105" i="5" s="1"/>
  <c r="O123" i="5"/>
  <c r="N123" i="5" s="1"/>
  <c r="O127" i="5"/>
  <c r="K12" i="6"/>
  <c r="K14" i="6"/>
  <c r="K18" i="6"/>
  <c r="K22" i="6"/>
  <c r="J22" i="6" s="1"/>
  <c r="K34" i="6"/>
  <c r="L34" i="6" s="1"/>
  <c r="T34" i="6" s="1"/>
  <c r="M19" i="8"/>
  <c r="W19" i="8" s="1"/>
  <c r="K19" i="8"/>
  <c r="U19" i="8" s="1"/>
  <c r="M93" i="5"/>
  <c r="N93" i="5" s="1"/>
  <c r="L79" i="8"/>
  <c r="V79" i="8" s="1"/>
  <c r="K79" i="8"/>
  <c r="U79" i="8" s="1"/>
  <c r="J79" i="8"/>
  <c r="T79" i="8" s="1"/>
  <c r="I79" i="8"/>
  <c r="S79" i="8" s="1"/>
  <c r="L41" i="8"/>
  <c r="T41" i="8" s="1"/>
  <c r="K41" i="8"/>
  <c r="S41" i="8" s="1"/>
  <c r="J41" i="8"/>
  <c r="R41" i="8" s="1"/>
  <c r="L52" i="8"/>
  <c r="T52" i="8" s="1"/>
  <c r="K52" i="8"/>
  <c r="S52" i="8" s="1"/>
  <c r="J52" i="8"/>
  <c r="R52" i="8" s="1"/>
  <c r="I24" i="8"/>
  <c r="S24" i="8" s="1"/>
  <c r="L60" i="8"/>
  <c r="T60" i="8" s="1"/>
  <c r="K60" i="8"/>
  <c r="S60" i="8" s="1"/>
  <c r="J60" i="8"/>
  <c r="R60" i="8" s="1"/>
  <c r="L46" i="8"/>
  <c r="T46" i="8" s="1"/>
  <c r="K46" i="8"/>
  <c r="S46" i="8" s="1"/>
  <c r="J46" i="8"/>
  <c r="R46" i="8" s="1"/>
  <c r="L43" i="8"/>
  <c r="T43" i="8" s="1"/>
  <c r="K43" i="8"/>
  <c r="S43" i="8" s="1"/>
  <c r="J43" i="8"/>
  <c r="R43" i="8" s="1"/>
  <c r="L83" i="8"/>
  <c r="V83" i="8" s="1"/>
  <c r="K83" i="8"/>
  <c r="U83" i="8" s="1"/>
  <c r="J83" i="8"/>
  <c r="T83" i="8" s="1"/>
  <c r="I83" i="8"/>
  <c r="S83" i="8" s="1"/>
  <c r="L55" i="8"/>
  <c r="T55" i="8" s="1"/>
  <c r="K55" i="8"/>
  <c r="S55" i="8" s="1"/>
  <c r="J55" i="8"/>
  <c r="R55" i="8" s="1"/>
  <c r="J24" i="8"/>
  <c r="T24" i="8" s="1"/>
  <c r="K13" i="8"/>
  <c r="U13" i="8" s="1"/>
  <c r="W79" i="8"/>
  <c r="L37" i="8"/>
  <c r="T37" i="8" s="1"/>
  <c r="K37" i="8"/>
  <c r="S37" i="8" s="1"/>
  <c r="J37" i="8"/>
  <c r="R37" i="8" s="1"/>
  <c r="L50" i="8"/>
  <c r="T50" i="8" s="1"/>
  <c r="K50" i="8"/>
  <c r="S50" i="8" s="1"/>
  <c r="J50" i="8"/>
  <c r="R50" i="8" s="1"/>
  <c r="L49" i="8"/>
  <c r="T49" i="8" s="1"/>
  <c r="K49" i="8"/>
  <c r="S49" i="8" s="1"/>
  <c r="J49" i="8"/>
  <c r="R49" i="8" s="1"/>
  <c r="L53" i="8"/>
  <c r="T53" i="8" s="1"/>
  <c r="K53" i="8"/>
  <c r="S53" i="8" s="1"/>
  <c r="J53" i="8"/>
  <c r="R53" i="8" s="1"/>
  <c r="L42" i="8"/>
  <c r="T42" i="8" s="1"/>
  <c r="K42" i="8"/>
  <c r="S42" i="8" s="1"/>
  <c r="J42" i="8"/>
  <c r="R42" i="8" s="1"/>
  <c r="L38" i="8"/>
  <c r="T38" i="8" s="1"/>
  <c r="K38" i="8"/>
  <c r="S38" i="8" s="1"/>
  <c r="J38" i="8"/>
  <c r="R38" i="8" s="1"/>
  <c r="L54" i="8"/>
  <c r="T54" i="8" s="1"/>
  <c r="K54" i="8"/>
  <c r="S54" i="8" s="1"/>
  <c r="J54" i="8"/>
  <c r="R54" i="8" s="1"/>
  <c r="M24" i="8"/>
  <c r="W24" i="8" s="1"/>
  <c r="M32" i="7"/>
  <c r="AC32" i="7" s="1"/>
  <c r="AE33" i="7"/>
  <c r="AE35" i="7"/>
  <c r="I38" i="6"/>
  <c r="L38" i="6"/>
  <c r="J38" i="6"/>
  <c r="L39" i="6"/>
  <c r="J39" i="6"/>
  <c r="R39" i="6" s="1"/>
  <c r="I39" i="6"/>
  <c r="Q39" i="6" s="1"/>
  <c r="S39" i="6"/>
  <c r="J40" i="6"/>
  <c r="R40" i="6" s="1"/>
  <c r="I40" i="6"/>
  <c r="L40" i="6"/>
  <c r="S40" i="6"/>
  <c r="I26" i="6"/>
  <c r="L26" i="6"/>
  <c r="J26" i="6"/>
  <c r="R26" i="6" s="1"/>
  <c r="J13" i="6"/>
  <c r="R13" i="6" s="1"/>
  <c r="I13" i="6"/>
  <c r="Q13" i="6" s="1"/>
  <c r="L13" i="6"/>
  <c r="J21" i="6"/>
  <c r="I21" i="6"/>
  <c r="Q21" i="6" s="1"/>
  <c r="L21" i="6"/>
  <c r="J25" i="6"/>
  <c r="R25" i="6" s="1"/>
  <c r="K31" i="6"/>
  <c r="S31" i="6" s="1"/>
  <c r="J29" i="6"/>
  <c r="I29" i="6"/>
  <c r="L29" i="6"/>
  <c r="T29" i="6" s="1"/>
  <c r="J75" i="6"/>
  <c r="I83" i="6"/>
  <c r="S83" i="6" s="1"/>
  <c r="K83" i="6"/>
  <c r="L83" i="6"/>
  <c r="M83" i="6"/>
  <c r="M86" i="6"/>
  <c r="W86" i="6" s="1"/>
  <c r="I86" i="6"/>
  <c r="S86" i="6" s="1"/>
  <c r="K86" i="6"/>
  <c r="U86" i="6" s="1"/>
  <c r="L86" i="6"/>
  <c r="V86" i="6" s="1"/>
  <c r="J12" i="6"/>
  <c r="I12" i="6"/>
  <c r="L12" i="6"/>
  <c r="J16" i="6"/>
  <c r="I16" i="6"/>
  <c r="Q16" i="6" s="1"/>
  <c r="L16" i="6"/>
  <c r="T16" i="6" s="1"/>
  <c r="K20" i="6"/>
  <c r="K37" i="6"/>
  <c r="S37" i="6" s="1"/>
  <c r="J33" i="6"/>
  <c r="I33" i="6"/>
  <c r="L33" i="6"/>
  <c r="Y63" i="6"/>
  <c r="L63" i="6"/>
  <c r="X63" i="6" s="1"/>
  <c r="M82" i="6"/>
  <c r="W82" i="6" s="1"/>
  <c r="I82" i="6"/>
  <c r="S82" i="6" s="1"/>
  <c r="K82" i="6"/>
  <c r="U82" i="6" s="1"/>
  <c r="L82" i="6"/>
  <c r="V82" i="6" s="1"/>
  <c r="K24" i="6"/>
  <c r="K35" i="6"/>
  <c r="L15" i="6"/>
  <c r="T15" i="6" s="1"/>
  <c r="J15" i="6"/>
  <c r="R15" i="6" s="1"/>
  <c r="I15" i="6"/>
  <c r="L19" i="6"/>
  <c r="J19" i="6"/>
  <c r="I19" i="6"/>
  <c r="L23" i="6"/>
  <c r="T23" i="6" s="1"/>
  <c r="J23" i="6"/>
  <c r="I23" i="6"/>
  <c r="K32" i="6"/>
  <c r="S32" i="6" s="1"/>
  <c r="K28" i="6"/>
  <c r="S28" i="6" s="1"/>
  <c r="I30" i="6"/>
  <c r="L30" i="6"/>
  <c r="J30" i="6"/>
  <c r="M78" i="6"/>
  <c r="W78" i="6" s="1"/>
  <c r="I78" i="6"/>
  <c r="S78" i="6" s="1"/>
  <c r="K78" i="6"/>
  <c r="U78" i="6" s="1"/>
  <c r="L78" i="6"/>
  <c r="V78" i="6" s="1"/>
  <c r="S26" i="6"/>
  <c r="S38" i="6"/>
  <c r="I14" i="6"/>
  <c r="L14" i="6"/>
  <c r="J14" i="6"/>
  <c r="R14" i="6" s="1"/>
  <c r="I18" i="6"/>
  <c r="L18" i="6"/>
  <c r="J18" i="6"/>
  <c r="R18" i="6" s="1"/>
  <c r="L27" i="6"/>
  <c r="J27" i="6"/>
  <c r="R27" i="6" s="1"/>
  <c r="I27" i="6"/>
  <c r="Q27" i="6" s="1"/>
  <c r="J36" i="6"/>
  <c r="I36" i="6"/>
  <c r="Q36" i="6" s="1"/>
  <c r="L36" i="6"/>
  <c r="T36" i="6" s="1"/>
  <c r="Y65" i="6"/>
  <c r="J65" i="6"/>
  <c r="V65" i="6" s="1"/>
  <c r="L85" i="6"/>
  <c r="V85" i="6" s="1"/>
  <c r="M85" i="6"/>
  <c r="W85" i="6" s="1"/>
  <c r="I85" i="6"/>
  <c r="S85" i="6" s="1"/>
  <c r="K85" i="6"/>
  <c r="U85" i="6" s="1"/>
  <c r="T86" i="6"/>
  <c r="N114" i="5"/>
  <c r="AF114" i="5" s="1"/>
  <c r="L114" i="5"/>
  <c r="AD114" i="5" s="1"/>
  <c r="L131" i="5"/>
  <c r="AD131" i="5" s="1"/>
  <c r="N131" i="5"/>
  <c r="AF131" i="5" s="1"/>
  <c r="O121" i="5"/>
  <c r="AG121" i="5" s="1"/>
  <c r="Q113" i="5"/>
  <c r="N113" i="5"/>
  <c r="L113" i="5"/>
  <c r="AG134" i="5"/>
  <c r="O134" i="5"/>
  <c r="N127" i="5"/>
  <c r="L127" i="5"/>
  <c r="M99" i="5"/>
  <c r="N99" i="5" s="1"/>
  <c r="Y100" i="5"/>
  <c r="M86" i="5"/>
  <c r="N86" i="5" s="1"/>
  <c r="Z86" i="5" s="1"/>
  <c r="M82" i="5"/>
  <c r="N82" i="5" s="1"/>
  <c r="Z82" i="5" s="1"/>
  <c r="M92" i="5"/>
  <c r="N92" i="5" s="1"/>
  <c r="Z92" i="5" s="1"/>
  <c r="M102" i="5"/>
  <c r="N102" i="5" s="1"/>
  <c r="O111" i="5"/>
  <c r="O130" i="5"/>
  <c r="L118" i="5"/>
  <c r="N118" i="5"/>
  <c r="L129" i="5"/>
  <c r="AD129" i="5" s="1"/>
  <c r="N129" i="5"/>
  <c r="AF129" i="5" s="1"/>
  <c r="N128" i="5"/>
  <c r="L128" i="5"/>
  <c r="L119" i="5"/>
  <c r="N119" i="5"/>
  <c r="N115" i="5"/>
  <c r="L115" i="5"/>
  <c r="AG132" i="5"/>
  <c r="O132" i="5"/>
  <c r="L125" i="5"/>
  <c r="N125" i="5"/>
  <c r="AF125" i="5" s="1"/>
  <c r="N120" i="5"/>
  <c r="L120" i="5"/>
  <c r="AG126" i="5"/>
  <c r="O126" i="5"/>
  <c r="M103" i="5"/>
  <c r="N103" i="5" s="1"/>
  <c r="J21" i="5"/>
  <c r="R21" i="5" s="1"/>
  <c r="Y73" i="5"/>
  <c r="M94" i="5"/>
  <c r="N94" i="5" s="1"/>
  <c r="M90" i="5"/>
  <c r="N90" i="5" s="1"/>
  <c r="M78" i="5"/>
  <c r="N78" i="5" s="1"/>
  <c r="Z78" i="5" s="1"/>
  <c r="M74" i="5"/>
  <c r="N74" i="5" s="1"/>
  <c r="Z74" i="5" s="1"/>
  <c r="M85" i="5"/>
  <c r="N85" i="5" s="1"/>
  <c r="M81" i="5"/>
  <c r="N81" i="5" s="1"/>
  <c r="M95" i="5"/>
  <c r="N95" i="5" s="1"/>
  <c r="Z95" i="5" s="1"/>
  <c r="M98" i="5"/>
  <c r="N98" i="5" s="1"/>
  <c r="M101" i="5"/>
  <c r="N101" i="5" s="1"/>
  <c r="M70" i="5"/>
  <c r="J70" i="5" s="1"/>
  <c r="V70" i="5" s="1"/>
  <c r="M75" i="5"/>
  <c r="N75" i="5" s="1"/>
  <c r="Z75" i="5" s="1"/>
  <c r="M71" i="5"/>
  <c r="N71" i="5" s="1"/>
  <c r="Z71" i="5" s="1"/>
  <c r="O116" i="5"/>
  <c r="O112" i="5"/>
  <c r="O133" i="5"/>
  <c r="M96" i="5"/>
  <c r="N96" i="5" s="1"/>
  <c r="L60" i="3"/>
  <c r="K60" i="3" s="1"/>
  <c r="AA60" i="3" s="1"/>
  <c r="V85" i="8"/>
  <c r="S85" i="8"/>
  <c r="T85" i="8"/>
  <c r="S91" i="6"/>
  <c r="W91" i="6"/>
  <c r="W72" i="6"/>
  <c r="V72" i="6"/>
  <c r="T76" i="2"/>
  <c r="J15" i="3"/>
  <c r="I15" i="3" s="1"/>
  <c r="L15" i="3" s="1"/>
  <c r="T15" i="3" s="1"/>
  <c r="J43" i="3"/>
  <c r="I43" i="3" s="1"/>
  <c r="L43" i="3" s="1"/>
  <c r="T43" i="3" s="1"/>
  <c r="J93" i="3"/>
  <c r="T93" i="3" s="1"/>
  <c r="J96" i="3"/>
  <c r="T96" i="3" s="1"/>
  <c r="J34" i="3"/>
  <c r="I34" i="3" s="1"/>
  <c r="L51" i="3"/>
  <c r="AB51" i="3" s="1"/>
  <c r="L53" i="3"/>
  <c r="AB53" i="3" s="1"/>
  <c r="L55" i="3"/>
  <c r="AB55" i="3" s="1"/>
  <c r="L57" i="3"/>
  <c r="AB57" i="3" s="1"/>
  <c r="L59" i="3"/>
  <c r="AB59" i="3" s="1"/>
  <c r="L62" i="3"/>
  <c r="AB62" i="3" s="1"/>
  <c r="L61" i="3"/>
  <c r="AB61" i="3" s="1"/>
  <c r="S16" i="6"/>
  <c r="S33" i="6"/>
  <c r="S35" i="6"/>
  <c r="T64" i="2"/>
  <c r="J20" i="3"/>
  <c r="I20" i="3" s="1"/>
  <c r="K20" i="3" s="1"/>
  <c r="S20" i="3" s="1"/>
  <c r="J24" i="3"/>
  <c r="I24" i="3" s="1"/>
  <c r="K24" i="3" s="1"/>
  <c r="S24" i="3" s="1"/>
  <c r="J28" i="3"/>
  <c r="I28" i="3" s="1"/>
  <c r="K28" i="3" s="1"/>
  <c r="S28" i="3" s="1"/>
  <c r="J32" i="3"/>
  <c r="I32" i="3" s="1"/>
  <c r="L32" i="3" s="1"/>
  <c r="J40" i="3"/>
  <c r="I40" i="3" s="1"/>
  <c r="K40" i="3" s="1"/>
  <c r="S40" i="3" s="1"/>
  <c r="L52" i="3"/>
  <c r="AB52" i="3" s="1"/>
  <c r="L54" i="3"/>
  <c r="AB54" i="3" s="1"/>
  <c r="L56" i="3"/>
  <c r="AB56" i="3" s="1"/>
  <c r="L58" i="3"/>
  <c r="AB58" i="3" s="1"/>
  <c r="AB60" i="3"/>
  <c r="S36" i="6"/>
  <c r="L12" i="3"/>
  <c r="K12" i="3"/>
  <c r="L28" i="3"/>
  <c r="T28" i="3" s="1"/>
  <c r="L40" i="3"/>
  <c r="T40" i="3" s="1"/>
  <c r="K15" i="3"/>
  <c r="S15" i="3" s="1"/>
  <c r="L23" i="3"/>
  <c r="K23" i="3"/>
  <c r="K31" i="3"/>
  <c r="L31" i="3"/>
  <c r="L39" i="3"/>
  <c r="T39" i="3" s="1"/>
  <c r="K39" i="3"/>
  <c r="I13" i="8"/>
  <c r="S13" i="8" s="1"/>
  <c r="J13" i="8"/>
  <c r="T13" i="8" s="1"/>
  <c r="J19" i="3"/>
  <c r="I19" i="3" s="1"/>
  <c r="Q19" i="3" s="1"/>
  <c r="J37" i="5"/>
  <c r="I37" i="5" s="1"/>
  <c r="L37" i="5" s="1"/>
  <c r="T37" i="5" s="1"/>
  <c r="J62" i="5"/>
  <c r="R62" i="5" s="1"/>
  <c r="Y85" i="5"/>
  <c r="Y101" i="5"/>
  <c r="U70" i="8"/>
  <c r="U81" i="8"/>
  <c r="S56" i="8"/>
  <c r="U84" i="8"/>
  <c r="K32" i="3"/>
  <c r="K44" i="3"/>
  <c r="S44" i="3" s="1"/>
  <c r="L44" i="3"/>
  <c r="J11" i="3"/>
  <c r="R11" i="3" s="1"/>
  <c r="K26" i="3"/>
  <c r="L26" i="3"/>
  <c r="L34" i="3"/>
  <c r="K34" i="3"/>
  <c r="L17" i="3"/>
  <c r="T17" i="3" s="1"/>
  <c r="K17" i="3"/>
  <c r="L25" i="3"/>
  <c r="K25" i="3"/>
  <c r="L29" i="3"/>
  <c r="K29" i="3"/>
  <c r="S29" i="3" s="1"/>
  <c r="L37" i="3"/>
  <c r="T37" i="3" s="1"/>
  <c r="K37" i="3"/>
  <c r="S37" i="3" s="1"/>
  <c r="L41" i="3"/>
  <c r="T41" i="3" s="1"/>
  <c r="K41" i="3"/>
  <c r="J27" i="3"/>
  <c r="I27" i="3" s="1"/>
  <c r="Q27" i="3" s="1"/>
  <c r="J35" i="3"/>
  <c r="I35" i="3" s="1"/>
  <c r="J16" i="4"/>
  <c r="R16" i="4" s="1"/>
  <c r="J43" i="5"/>
  <c r="R43" i="5" s="1"/>
  <c r="W79" i="6"/>
  <c r="J18" i="3"/>
  <c r="I18" i="3" s="1"/>
  <c r="J22" i="3"/>
  <c r="I22" i="3" s="1"/>
  <c r="J30" i="3"/>
  <c r="I30" i="3" s="1"/>
  <c r="J38" i="3"/>
  <c r="I38" i="3" s="1"/>
  <c r="Q38" i="3" s="1"/>
  <c r="J85" i="3"/>
  <c r="T85" i="3" s="1"/>
  <c r="L26" i="4"/>
  <c r="AB26" i="4" s="1"/>
  <c r="Y96" i="5"/>
  <c r="S15" i="6"/>
  <c r="S19" i="6"/>
  <c r="S23" i="6"/>
  <c r="S30" i="6"/>
  <c r="AC34" i="7"/>
  <c r="AA33" i="7"/>
  <c r="I32" i="7"/>
  <c r="Y32" i="7" s="1"/>
  <c r="N32" i="7"/>
  <c r="AD32" i="7" s="1"/>
  <c r="J32" i="7"/>
  <c r="Z32" i="7" s="1"/>
  <c r="U80" i="6"/>
  <c r="V79" i="6"/>
  <c r="U84" i="6"/>
  <c r="V83" i="6"/>
  <c r="V91" i="6"/>
  <c r="K25" i="8"/>
  <c r="U25" i="8" s="1"/>
  <c r="I27" i="8"/>
  <c r="S27" i="8" s="1"/>
  <c r="I29" i="8"/>
  <c r="S29" i="8" s="1"/>
  <c r="K65" i="2"/>
  <c r="U65" i="2" s="1"/>
  <c r="J13" i="3"/>
  <c r="I13" i="3" s="1"/>
  <c r="J21" i="3"/>
  <c r="I21" i="3" s="1"/>
  <c r="J33" i="3"/>
  <c r="I33" i="3" s="1"/>
  <c r="J45" i="3"/>
  <c r="I45" i="3" s="1"/>
  <c r="L66" i="3"/>
  <c r="AB66" i="3" s="1"/>
  <c r="J14" i="4"/>
  <c r="R14" i="4" s="1"/>
  <c r="J51" i="4"/>
  <c r="P51" i="4" s="1"/>
  <c r="J47" i="5"/>
  <c r="R47" i="5" s="1"/>
  <c r="J19" i="5"/>
  <c r="R19" i="5" s="1"/>
  <c r="J15" i="5"/>
  <c r="R15" i="5" s="1"/>
  <c r="J29" i="5"/>
  <c r="R29" i="5" s="1"/>
  <c r="J39" i="5"/>
  <c r="R39" i="5" s="1"/>
  <c r="J58" i="5"/>
  <c r="I58" i="5" s="1"/>
  <c r="S14" i="6"/>
  <c r="S18" i="6"/>
  <c r="S22" i="6"/>
  <c r="S27" i="6"/>
  <c r="K32" i="7"/>
  <c r="AA32" i="7" s="1"/>
  <c r="P32" i="7"/>
  <c r="AF32" i="7" s="1"/>
  <c r="U87" i="6"/>
  <c r="S80" i="6"/>
  <c r="U79" i="6"/>
  <c r="S84" i="6"/>
  <c r="U83" i="6"/>
  <c r="U91" i="6"/>
  <c r="M25" i="8"/>
  <c r="W25" i="8" s="1"/>
  <c r="J27" i="8"/>
  <c r="T27" i="8" s="1"/>
  <c r="J12" i="8"/>
  <c r="T12" i="8" s="1"/>
  <c r="L20" i="3"/>
  <c r="T20" i="3" s="1"/>
  <c r="K36" i="3"/>
  <c r="S36" i="3" s="1"/>
  <c r="W83" i="6"/>
  <c r="K71" i="2"/>
  <c r="U71" i="2" s="1"/>
  <c r="T71" i="2"/>
  <c r="I17" i="5"/>
  <c r="Q17" i="5" s="1"/>
  <c r="R17" i="5"/>
  <c r="I14" i="4"/>
  <c r="Q14" i="4" s="1"/>
  <c r="Q12" i="3"/>
  <c r="R12" i="3"/>
  <c r="Q44" i="3"/>
  <c r="R44" i="3"/>
  <c r="R19" i="3"/>
  <c r="Q31" i="3"/>
  <c r="R31" i="3"/>
  <c r="Q39" i="3"/>
  <c r="R39" i="3"/>
  <c r="Q17" i="3"/>
  <c r="R17" i="3"/>
  <c r="Q25" i="3"/>
  <c r="R25" i="3"/>
  <c r="Q29" i="3"/>
  <c r="R29" i="3"/>
  <c r="Q41" i="3"/>
  <c r="R41" i="3"/>
  <c r="Y70" i="5"/>
  <c r="N46" i="6"/>
  <c r="Z46" i="6" s="1"/>
  <c r="Y46" i="6"/>
  <c r="W74" i="8"/>
  <c r="V74" i="8"/>
  <c r="S74" i="8"/>
  <c r="T74" i="8"/>
  <c r="U74" i="8"/>
  <c r="AB34" i="7"/>
  <c r="M20" i="8"/>
  <c r="W20" i="8" s="1"/>
  <c r="J20" i="8"/>
  <c r="T20" i="8" s="1"/>
  <c r="J76" i="3"/>
  <c r="I76" i="3" s="1"/>
  <c r="J81" i="3"/>
  <c r="T81" i="3" s="1"/>
  <c r="L24" i="4"/>
  <c r="AB24" i="4" s="1"/>
  <c r="J44" i="4"/>
  <c r="P44" i="4" s="1"/>
  <c r="L68" i="3"/>
  <c r="AB68" i="3" s="1"/>
  <c r="L70" i="3"/>
  <c r="AB70" i="3" s="1"/>
  <c r="J82" i="3"/>
  <c r="T82" i="3" s="1"/>
  <c r="J78" i="3"/>
  <c r="T78" i="3" s="1"/>
  <c r="J101" i="3"/>
  <c r="T101" i="3" s="1"/>
  <c r="J104" i="3"/>
  <c r="T104" i="3" s="1"/>
  <c r="J15" i="4"/>
  <c r="R15" i="4" s="1"/>
  <c r="J41" i="4"/>
  <c r="P41" i="4" s="1"/>
  <c r="J49" i="4"/>
  <c r="P49" i="4" s="1"/>
  <c r="J23" i="5"/>
  <c r="R23" i="5" s="1"/>
  <c r="J57" i="5"/>
  <c r="S13" i="6"/>
  <c r="S17" i="6"/>
  <c r="S21" i="6"/>
  <c r="S25" i="6"/>
  <c r="S29" i="6"/>
  <c r="K27" i="8"/>
  <c r="U27" i="8" s="1"/>
  <c r="Q28" i="3"/>
  <c r="R28" i="3"/>
  <c r="I18" i="4"/>
  <c r="Q18" i="4" s="1"/>
  <c r="R18" i="4"/>
  <c r="I46" i="5"/>
  <c r="Q46" i="5" s="1"/>
  <c r="R46" i="5"/>
  <c r="I56" i="5"/>
  <c r="Q56" i="5" s="1"/>
  <c r="R56" i="5"/>
  <c r="I13" i="5"/>
  <c r="Q13" i="5" s="1"/>
  <c r="R13" i="5"/>
  <c r="K105" i="5"/>
  <c r="W105" i="5" s="1"/>
  <c r="Y105" i="5"/>
  <c r="J47" i="6"/>
  <c r="V47" i="6" s="1"/>
  <c r="Y47" i="6"/>
  <c r="W82" i="8"/>
  <c r="V82" i="8"/>
  <c r="S82" i="8"/>
  <c r="T82" i="8"/>
  <c r="U82" i="8"/>
  <c r="J33" i="4"/>
  <c r="P33" i="4" s="1"/>
  <c r="T65" i="2"/>
  <c r="Q40" i="3"/>
  <c r="R40" i="3"/>
  <c r="Q23" i="3"/>
  <c r="R23" i="3"/>
  <c r="I51" i="5"/>
  <c r="Q51" i="5" s="1"/>
  <c r="R51" i="5"/>
  <c r="I34" i="5"/>
  <c r="Q34" i="5" s="1"/>
  <c r="R34" i="5"/>
  <c r="I63" i="5"/>
  <c r="Q63" i="5" s="1"/>
  <c r="R63" i="5"/>
  <c r="AG114" i="5"/>
  <c r="J64" i="6"/>
  <c r="V64" i="6" s="1"/>
  <c r="Y64" i="6"/>
  <c r="I60" i="6"/>
  <c r="U60" i="6" s="1"/>
  <c r="Y60" i="6"/>
  <c r="N56" i="6"/>
  <c r="Z56" i="6" s="1"/>
  <c r="Y56" i="6"/>
  <c r="N52" i="6"/>
  <c r="Z52" i="6" s="1"/>
  <c r="Y52" i="6"/>
  <c r="N48" i="6"/>
  <c r="Z48" i="6" s="1"/>
  <c r="Y48" i="6"/>
  <c r="K15" i="8"/>
  <c r="U15" i="8" s="1"/>
  <c r="M15" i="8"/>
  <c r="W15" i="8" s="1"/>
  <c r="J15" i="8"/>
  <c r="T15" i="8" s="1"/>
  <c r="I15" i="8"/>
  <c r="S15" i="8" s="1"/>
  <c r="T76" i="3"/>
  <c r="J77" i="3"/>
  <c r="T77" i="3" s="1"/>
  <c r="L25" i="4"/>
  <c r="AB25" i="4" s="1"/>
  <c r="J31" i="5"/>
  <c r="Y72" i="5"/>
  <c r="R38" i="3"/>
  <c r="Q15" i="3"/>
  <c r="R27" i="3"/>
  <c r="Z83" i="5"/>
  <c r="Y83" i="5"/>
  <c r="K87" i="5"/>
  <c r="W87" i="5" s="1"/>
  <c r="Y87" i="5"/>
  <c r="Y95" i="5"/>
  <c r="Z99" i="5"/>
  <c r="Z103" i="5"/>
  <c r="Y103" i="5"/>
  <c r="J119" i="5"/>
  <c r="AB119" i="5" s="1"/>
  <c r="AG119" i="5"/>
  <c r="L49" i="6"/>
  <c r="X49" i="6" s="1"/>
  <c r="Y49" i="6"/>
  <c r="W78" i="8"/>
  <c r="V78" i="8"/>
  <c r="S78" i="8"/>
  <c r="T78" i="8"/>
  <c r="U78" i="8"/>
  <c r="J107" i="3"/>
  <c r="T107" i="3" s="1"/>
  <c r="J103" i="3"/>
  <c r="T103" i="3" s="1"/>
  <c r="J92" i="3"/>
  <c r="M92" i="3" s="1"/>
  <c r="W92" i="3" s="1"/>
  <c r="J88" i="3"/>
  <c r="T88" i="3" s="1"/>
  <c r="J84" i="3"/>
  <c r="T84" i="3" s="1"/>
  <c r="J80" i="3"/>
  <c r="T80" i="3" s="1"/>
  <c r="J105" i="3"/>
  <c r="T105" i="3" s="1"/>
  <c r="J99" i="3"/>
  <c r="T99" i="3" s="1"/>
  <c r="J97" i="3"/>
  <c r="T97" i="3" s="1"/>
  <c r="J95" i="3"/>
  <c r="T95" i="3" s="1"/>
  <c r="J94" i="3"/>
  <c r="T94" i="3" s="1"/>
  <c r="J91" i="3"/>
  <c r="T91" i="3" s="1"/>
  <c r="J89" i="3"/>
  <c r="T89" i="3" s="1"/>
  <c r="J87" i="3"/>
  <c r="T87" i="3" s="1"/>
  <c r="R20" i="3"/>
  <c r="Q24" i="3"/>
  <c r="M17" i="8"/>
  <c r="W17" i="8" s="1"/>
  <c r="J17" i="8"/>
  <c r="T17" i="8" s="1"/>
  <c r="I17" i="8"/>
  <c r="S17" i="8" s="1"/>
  <c r="K17" i="8"/>
  <c r="U17" i="8" s="1"/>
  <c r="M16" i="8"/>
  <c r="W16" i="8" s="1"/>
  <c r="I16" i="8"/>
  <c r="S16" i="8" s="1"/>
  <c r="J16" i="8"/>
  <c r="T16" i="8" s="1"/>
  <c r="K16" i="8"/>
  <c r="U16" i="8" s="1"/>
  <c r="K89" i="3"/>
  <c r="U89" i="3" s="1"/>
  <c r="Q14" i="6"/>
  <c r="T14" i="6"/>
  <c r="Q18" i="6"/>
  <c r="T18" i="6"/>
  <c r="T27" i="6"/>
  <c r="T13" i="6"/>
  <c r="R29" i="6"/>
  <c r="Q29" i="6"/>
  <c r="L81" i="3"/>
  <c r="V81" i="3" s="1"/>
  <c r="K81" i="3"/>
  <c r="U81" i="3" s="1"/>
  <c r="M81" i="3"/>
  <c r="W81" i="3" s="1"/>
  <c r="K98" i="3"/>
  <c r="U98" i="3" s="1"/>
  <c r="I98" i="3"/>
  <c r="S98" i="3" s="1"/>
  <c r="M98" i="3"/>
  <c r="W98" i="3" s="1"/>
  <c r="L98" i="3"/>
  <c r="V98" i="3" s="1"/>
  <c r="K82" i="3"/>
  <c r="U82" i="3" s="1"/>
  <c r="I82" i="3"/>
  <c r="S82" i="3" s="1"/>
  <c r="M82" i="3"/>
  <c r="W82" i="3" s="1"/>
  <c r="L82" i="3"/>
  <c r="V82" i="3" s="1"/>
  <c r="K86" i="3"/>
  <c r="U86" i="3" s="1"/>
  <c r="I86" i="3"/>
  <c r="S86" i="3" s="1"/>
  <c r="M86" i="3"/>
  <c r="W86" i="3" s="1"/>
  <c r="L86" i="3"/>
  <c r="V86" i="3" s="1"/>
  <c r="R16" i="6"/>
  <c r="R33" i="6"/>
  <c r="Q33" i="6"/>
  <c r="T33" i="6"/>
  <c r="K78" i="3"/>
  <c r="U78" i="3" s="1"/>
  <c r="I78" i="3"/>
  <c r="S78" i="3" s="1"/>
  <c r="L78" i="3"/>
  <c r="V78" i="3" s="1"/>
  <c r="K90" i="3"/>
  <c r="U90" i="3" s="1"/>
  <c r="I90" i="3"/>
  <c r="S90" i="3" s="1"/>
  <c r="M90" i="3"/>
  <c r="W90" i="3" s="1"/>
  <c r="L90" i="3"/>
  <c r="V90" i="3" s="1"/>
  <c r="M95" i="3"/>
  <c r="W95" i="3" s="1"/>
  <c r="I95" i="3"/>
  <c r="S95" i="3" s="1"/>
  <c r="L101" i="3"/>
  <c r="V101" i="3" s="1"/>
  <c r="K101" i="3"/>
  <c r="U101" i="3" s="1"/>
  <c r="M101" i="3"/>
  <c r="W101" i="3" s="1"/>
  <c r="I104" i="3"/>
  <c r="S104" i="3" s="1"/>
  <c r="M84" i="3"/>
  <c r="W84" i="3" s="1"/>
  <c r="K84" i="3"/>
  <c r="U84" i="3" s="1"/>
  <c r="I84" i="3"/>
  <c r="S84" i="3" s="1"/>
  <c r="M88" i="3"/>
  <c r="W88" i="3" s="1"/>
  <c r="I88" i="3"/>
  <c r="S88" i="3" s="1"/>
  <c r="I83" i="3"/>
  <c r="S83" i="3" s="1"/>
  <c r="M83" i="3"/>
  <c r="W83" i="3" s="1"/>
  <c r="L83" i="3"/>
  <c r="V83" i="3" s="1"/>
  <c r="K83" i="3"/>
  <c r="U83" i="3" s="1"/>
  <c r="I79" i="3"/>
  <c r="S79" i="3" s="1"/>
  <c r="M79" i="3"/>
  <c r="W79" i="3" s="1"/>
  <c r="L79" i="3"/>
  <c r="V79" i="3" s="1"/>
  <c r="K79" i="3"/>
  <c r="U79" i="3" s="1"/>
  <c r="L91" i="3"/>
  <c r="V91" i="3" s="1"/>
  <c r="M96" i="3"/>
  <c r="W96" i="3" s="1"/>
  <c r="L96" i="3"/>
  <c r="V96" i="3" s="1"/>
  <c r="K96" i="3"/>
  <c r="U96" i="3" s="1"/>
  <c r="I96" i="3"/>
  <c r="S96" i="3" s="1"/>
  <c r="M100" i="3"/>
  <c r="W100" i="3" s="1"/>
  <c r="L100" i="3"/>
  <c r="V100" i="3" s="1"/>
  <c r="K100" i="3"/>
  <c r="U100" i="3" s="1"/>
  <c r="I100" i="3"/>
  <c r="S100" i="3" s="1"/>
  <c r="K105" i="3"/>
  <c r="U105" i="3" s="1"/>
  <c r="K76" i="3"/>
  <c r="U76" i="3" s="1"/>
  <c r="S76" i="3"/>
  <c r="M76" i="3"/>
  <c r="W76" i="3" s="1"/>
  <c r="L76" i="3"/>
  <c r="V76" i="3" s="1"/>
  <c r="K80" i="3"/>
  <c r="U80" i="3" s="1"/>
  <c r="I80" i="3"/>
  <c r="S80" i="3" s="1"/>
  <c r="I85" i="3"/>
  <c r="S85" i="3" s="1"/>
  <c r="L97" i="3"/>
  <c r="V97" i="3" s="1"/>
  <c r="M106" i="3"/>
  <c r="W106" i="3" s="1"/>
  <c r="L106" i="3"/>
  <c r="V106" i="3" s="1"/>
  <c r="K102" i="3"/>
  <c r="U102" i="3" s="1"/>
  <c r="I102" i="3"/>
  <c r="S102" i="3" s="1"/>
  <c r="M102" i="3"/>
  <c r="W102" i="3" s="1"/>
  <c r="L102" i="3"/>
  <c r="V102" i="3" s="1"/>
  <c r="Q15" i="6"/>
  <c r="Q19" i="6"/>
  <c r="R23" i="6"/>
  <c r="Q23" i="6"/>
  <c r="R30" i="6"/>
  <c r="Q30" i="6"/>
  <c r="T30" i="6"/>
  <c r="L63" i="3"/>
  <c r="AB63" i="3" s="1"/>
  <c r="L65" i="3"/>
  <c r="AB65" i="3" s="1"/>
  <c r="K103" i="3"/>
  <c r="U103" i="3" s="1"/>
  <c r="J17" i="4"/>
  <c r="R17" i="4" s="1"/>
  <c r="J13" i="4"/>
  <c r="R13" i="4" s="1"/>
  <c r="J54" i="4"/>
  <c r="P54" i="4" s="1"/>
  <c r="J50" i="5"/>
  <c r="R50" i="5" s="1"/>
  <c r="J53" i="5"/>
  <c r="R53" i="5" s="1"/>
  <c r="J12" i="5"/>
  <c r="R12" i="5" s="1"/>
  <c r="J36" i="5"/>
  <c r="R36" i="5" s="1"/>
  <c r="J61" i="5"/>
  <c r="J33" i="5"/>
  <c r="R33" i="5" s="1"/>
  <c r="J52" i="5"/>
  <c r="R52" i="5" s="1"/>
  <c r="J35" i="5"/>
  <c r="R35" i="5" s="1"/>
  <c r="J54" i="5"/>
  <c r="R54" i="5" s="1"/>
  <c r="Y102" i="5"/>
  <c r="AG117" i="5"/>
  <c r="M115" i="5"/>
  <c r="AE115" i="5" s="1"/>
  <c r="T67" i="2"/>
  <c r="T69" i="2"/>
  <c r="L64" i="3"/>
  <c r="AB64" i="3" s="1"/>
  <c r="L69" i="3"/>
  <c r="AB69" i="3" s="1"/>
  <c r="L103" i="3"/>
  <c r="V103" i="3" s="1"/>
  <c r="J48" i="5"/>
  <c r="R48" i="5" s="1"/>
  <c r="J45" i="5"/>
  <c r="R45" i="5" s="1"/>
  <c r="Y89" i="5"/>
  <c r="Y93" i="5"/>
  <c r="T26" i="6"/>
  <c r="M103" i="3"/>
  <c r="W103" i="3" s="1"/>
  <c r="L27" i="4"/>
  <c r="AB27" i="4" s="1"/>
  <c r="Q26" i="6"/>
  <c r="I70" i="5"/>
  <c r="U70" i="5" s="1"/>
  <c r="I103" i="3"/>
  <c r="S103" i="3" s="1"/>
  <c r="J63" i="4"/>
  <c r="P63" i="4" s="1"/>
  <c r="J44" i="5"/>
  <c r="AG131" i="5"/>
  <c r="S24" i="6"/>
  <c r="S12" i="6"/>
  <c r="T39" i="6"/>
  <c r="N60" i="6"/>
  <c r="Z60" i="6" s="1"/>
  <c r="K47" i="6"/>
  <c r="W47" i="6" s="1"/>
  <c r="J62" i="6"/>
  <c r="V62" i="6" s="1"/>
  <c r="N62" i="6"/>
  <c r="Z62" i="6" s="1"/>
  <c r="L50" i="6"/>
  <c r="X50" i="6" s="1"/>
  <c r="I61" i="6"/>
  <c r="U61" i="6" s="1"/>
  <c r="N49" i="6"/>
  <c r="Z49" i="6" s="1"/>
  <c r="I47" i="6"/>
  <c r="U47" i="6" s="1"/>
  <c r="L47" i="6"/>
  <c r="X47" i="6" s="1"/>
  <c r="J60" i="6"/>
  <c r="V60" i="6" s="1"/>
  <c r="I65" i="6"/>
  <c r="U65" i="6" s="1"/>
  <c r="N63" i="6"/>
  <c r="Z63" i="6" s="1"/>
  <c r="K63" i="6"/>
  <c r="W63" i="6" s="1"/>
  <c r="N64" i="6"/>
  <c r="Z64" i="6" s="1"/>
  <c r="I63" i="6"/>
  <c r="U63" i="6" s="1"/>
  <c r="J63" i="6"/>
  <c r="V63" i="6" s="1"/>
  <c r="K64" i="6"/>
  <c r="W64" i="6" s="1"/>
  <c r="L64" i="6"/>
  <c r="X64" i="6" s="1"/>
  <c r="N65" i="6"/>
  <c r="Z65" i="6" s="1"/>
  <c r="I64" i="6"/>
  <c r="U64" i="6" s="1"/>
  <c r="K65" i="6"/>
  <c r="W65" i="6" s="1"/>
  <c r="L65" i="6"/>
  <c r="X65" i="6" s="1"/>
  <c r="K62" i="6"/>
  <c r="W62" i="6" s="1"/>
  <c r="I62" i="6"/>
  <c r="U62" i="6" s="1"/>
  <c r="L62" i="6"/>
  <c r="X62" i="6" s="1"/>
  <c r="J61" i="6"/>
  <c r="V61" i="6" s="1"/>
  <c r="K60" i="6"/>
  <c r="W60" i="6" s="1"/>
  <c r="L60" i="6"/>
  <c r="X60" i="6" s="1"/>
  <c r="N61" i="6"/>
  <c r="Z61" i="6" s="1"/>
  <c r="I59" i="6"/>
  <c r="U59" i="6" s="1"/>
  <c r="K61" i="6"/>
  <c r="W61" i="6" s="1"/>
  <c r="L61" i="6"/>
  <c r="X61" i="6" s="1"/>
  <c r="J59" i="6"/>
  <c r="V59" i="6" s="1"/>
  <c r="N59" i="6"/>
  <c r="Z59" i="6" s="1"/>
  <c r="K59" i="6"/>
  <c r="W59" i="6" s="1"/>
  <c r="L59" i="6"/>
  <c r="X59" i="6" s="1"/>
  <c r="N58" i="6"/>
  <c r="Z58" i="6" s="1"/>
  <c r="L58" i="6"/>
  <c r="X58" i="6" s="1"/>
  <c r="I58" i="6"/>
  <c r="U58" i="6" s="1"/>
  <c r="J58" i="6"/>
  <c r="V58" i="6" s="1"/>
  <c r="K58" i="6"/>
  <c r="W58" i="6" s="1"/>
  <c r="J57" i="6"/>
  <c r="V57" i="6" s="1"/>
  <c r="K56" i="6"/>
  <c r="W56" i="6" s="1"/>
  <c r="L56" i="6"/>
  <c r="X56" i="6" s="1"/>
  <c r="N57" i="6"/>
  <c r="Z57" i="6" s="1"/>
  <c r="I55" i="6"/>
  <c r="U55" i="6" s="1"/>
  <c r="K57" i="6"/>
  <c r="W57" i="6" s="1"/>
  <c r="L57" i="6"/>
  <c r="X57" i="6" s="1"/>
  <c r="I56" i="6"/>
  <c r="U56" i="6" s="1"/>
  <c r="J55" i="6"/>
  <c r="V55" i="6" s="1"/>
  <c r="N55" i="6"/>
  <c r="Z55" i="6" s="1"/>
  <c r="I57" i="6"/>
  <c r="U57" i="6" s="1"/>
  <c r="J56" i="6"/>
  <c r="V56" i="6" s="1"/>
  <c r="K55" i="6"/>
  <c r="W55" i="6" s="1"/>
  <c r="L55" i="6"/>
  <c r="X55" i="6" s="1"/>
  <c r="N54" i="6"/>
  <c r="Z54" i="6" s="1"/>
  <c r="L54" i="6"/>
  <c r="X54" i="6" s="1"/>
  <c r="I54" i="6"/>
  <c r="U54" i="6" s="1"/>
  <c r="J54" i="6"/>
  <c r="V54" i="6" s="1"/>
  <c r="K54" i="6"/>
  <c r="W54" i="6" s="1"/>
  <c r="J53" i="6"/>
  <c r="V53" i="6" s="1"/>
  <c r="K52" i="6"/>
  <c r="W52" i="6" s="1"/>
  <c r="L52" i="6"/>
  <c r="X52" i="6" s="1"/>
  <c r="N53" i="6"/>
  <c r="Z53" i="6" s="1"/>
  <c r="I51" i="6"/>
  <c r="U51" i="6" s="1"/>
  <c r="K53" i="6"/>
  <c r="W53" i="6" s="1"/>
  <c r="L53" i="6"/>
  <c r="X53" i="6" s="1"/>
  <c r="I52" i="6"/>
  <c r="U52" i="6" s="1"/>
  <c r="J51" i="6"/>
  <c r="V51" i="6" s="1"/>
  <c r="N51" i="6"/>
  <c r="Z51" i="6" s="1"/>
  <c r="I53" i="6"/>
  <c r="U53" i="6" s="1"/>
  <c r="J52" i="6"/>
  <c r="V52" i="6" s="1"/>
  <c r="K51" i="6"/>
  <c r="W51" i="6" s="1"/>
  <c r="L51" i="6"/>
  <c r="X51" i="6" s="1"/>
  <c r="N50" i="6"/>
  <c r="Z50" i="6" s="1"/>
  <c r="I50" i="6"/>
  <c r="U50" i="6" s="1"/>
  <c r="J50" i="6"/>
  <c r="V50" i="6" s="1"/>
  <c r="K50" i="6"/>
  <c r="W50" i="6" s="1"/>
  <c r="J48" i="6"/>
  <c r="V48" i="6" s="1"/>
  <c r="J49" i="6"/>
  <c r="V49" i="6" s="1"/>
  <c r="K48" i="6"/>
  <c r="W48" i="6" s="1"/>
  <c r="I48" i="6"/>
  <c r="U48" i="6" s="1"/>
  <c r="K49" i="6"/>
  <c r="W49" i="6" s="1"/>
  <c r="L48" i="6"/>
  <c r="X48" i="6" s="1"/>
  <c r="N47" i="6"/>
  <c r="Z47" i="6" s="1"/>
  <c r="I49" i="6"/>
  <c r="U49" i="6" s="1"/>
  <c r="L46" i="6"/>
  <c r="X46" i="6" s="1"/>
  <c r="K46" i="6"/>
  <c r="W46" i="6" s="1"/>
  <c r="J46" i="6"/>
  <c r="V46" i="6" s="1"/>
  <c r="I46" i="6"/>
  <c r="U46" i="6" s="1"/>
  <c r="T40" i="6"/>
  <c r="Q40" i="6"/>
  <c r="R36" i="6"/>
  <c r="T38" i="6"/>
  <c r="R38" i="6"/>
  <c r="Q38" i="6"/>
  <c r="Y104" i="5"/>
  <c r="Y97" i="5"/>
  <c r="Y88" i="5"/>
  <c r="Y84" i="5"/>
  <c r="Y80" i="5"/>
  <c r="AG127" i="5"/>
  <c r="AG128" i="5"/>
  <c r="AG118" i="5"/>
  <c r="AG112" i="5"/>
  <c r="AG111" i="5"/>
  <c r="J113" i="5"/>
  <c r="AB113" i="5" s="1"/>
  <c r="I115" i="5"/>
  <c r="AA115" i="5" s="1"/>
  <c r="I119" i="5"/>
  <c r="AA119" i="5" s="1"/>
  <c r="P119" i="5"/>
  <c r="AH119" i="5" s="1"/>
  <c r="AF119" i="5"/>
  <c r="M119" i="5"/>
  <c r="AE119" i="5" s="1"/>
  <c r="AD119" i="5"/>
  <c r="K119" i="5"/>
  <c r="AC119" i="5" s="1"/>
  <c r="Q119" i="5"/>
  <c r="AI119" i="5" s="1"/>
  <c r="Q121" i="5"/>
  <c r="AI121" i="5" s="1"/>
  <c r="K126" i="5"/>
  <c r="AC126" i="5" s="1"/>
  <c r="M127" i="5"/>
  <c r="AE127" i="5" s="1"/>
  <c r="I127" i="5"/>
  <c r="AA127" i="5" s="1"/>
  <c r="J127" i="5"/>
  <c r="AB127" i="5" s="1"/>
  <c r="J131" i="5"/>
  <c r="AB131" i="5" s="1"/>
  <c r="Q131" i="5"/>
  <c r="AI131" i="5" s="1"/>
  <c r="P131" i="5"/>
  <c r="AH131" i="5" s="1"/>
  <c r="I131" i="5"/>
  <c r="AA131" i="5" s="1"/>
  <c r="K131" i="5"/>
  <c r="AC131" i="5" s="1"/>
  <c r="M131" i="5"/>
  <c r="AE131" i="5" s="1"/>
  <c r="P132" i="5"/>
  <c r="AH132" i="5" s="1"/>
  <c r="J134" i="5"/>
  <c r="AB134" i="5" s="1"/>
  <c r="R11" i="5"/>
  <c r="J14" i="5"/>
  <c r="R14" i="5" s="1"/>
  <c r="J16" i="5"/>
  <c r="R16" i="5" s="1"/>
  <c r="J18" i="5"/>
  <c r="R18" i="5" s="1"/>
  <c r="J24" i="5"/>
  <c r="R24" i="5" s="1"/>
  <c r="J28" i="5"/>
  <c r="J27" i="5"/>
  <c r="J30" i="5"/>
  <c r="R30" i="5" s="1"/>
  <c r="J40" i="5"/>
  <c r="R40" i="5" s="1"/>
  <c r="J42" i="5"/>
  <c r="J49" i="5"/>
  <c r="J59" i="5"/>
  <c r="J64" i="5"/>
  <c r="R64" i="5" s="1"/>
  <c r="J60" i="5"/>
  <c r="R60" i="5" s="1"/>
  <c r="J26" i="5"/>
  <c r="J22" i="5"/>
  <c r="J20" i="5"/>
  <c r="R20" i="5" s="1"/>
  <c r="Q134" i="5"/>
  <c r="AI134" i="5" s="1"/>
  <c r="P134" i="5"/>
  <c r="AH134" i="5" s="1"/>
  <c r="M134" i="5"/>
  <c r="AE134" i="5" s="1"/>
  <c r="K134" i="5"/>
  <c r="AC134" i="5" s="1"/>
  <c r="I134" i="5"/>
  <c r="AA134" i="5" s="1"/>
  <c r="I128" i="5"/>
  <c r="AA128" i="5" s="1"/>
  <c r="Q128" i="5"/>
  <c r="AI128" i="5" s="1"/>
  <c r="J128" i="5"/>
  <c r="AB128" i="5" s="1"/>
  <c r="Q122" i="5"/>
  <c r="AI122" i="5" s="1"/>
  <c r="M116" i="5"/>
  <c r="AE116" i="5" s="1"/>
  <c r="K116" i="5"/>
  <c r="AC116" i="5" s="1"/>
  <c r="J116" i="5"/>
  <c r="AB116" i="5" s="1"/>
  <c r="I116" i="5"/>
  <c r="AA116" i="5" s="1"/>
  <c r="P116" i="5"/>
  <c r="AH116" i="5" s="1"/>
  <c r="I132" i="5"/>
  <c r="AA132" i="5" s="1"/>
  <c r="J132" i="5"/>
  <c r="AB132" i="5" s="1"/>
  <c r="M132" i="5"/>
  <c r="AE132" i="5" s="1"/>
  <c r="Q132" i="5"/>
  <c r="AI132" i="5" s="1"/>
  <c r="K132" i="5"/>
  <c r="AC132" i="5" s="1"/>
  <c r="M126" i="5"/>
  <c r="AE126" i="5" s="1"/>
  <c r="J126" i="5"/>
  <c r="AB126" i="5" s="1"/>
  <c r="P126" i="5"/>
  <c r="AH126" i="5" s="1"/>
  <c r="I126" i="5"/>
  <c r="AA126" i="5" s="1"/>
  <c r="Q126" i="5"/>
  <c r="AI126" i="5" s="1"/>
  <c r="M121" i="5"/>
  <c r="AE121" i="5" s="1"/>
  <c r="J121" i="5"/>
  <c r="AB121" i="5" s="1"/>
  <c r="M114" i="5"/>
  <c r="AE114" i="5" s="1"/>
  <c r="K114" i="5"/>
  <c r="AC114" i="5" s="1"/>
  <c r="J114" i="5"/>
  <c r="AB114" i="5" s="1"/>
  <c r="I114" i="5"/>
  <c r="AA114" i="5" s="1"/>
  <c r="P114" i="5"/>
  <c r="AH114" i="5" s="1"/>
  <c r="Q114" i="5"/>
  <c r="AI114" i="5" s="1"/>
  <c r="Q130" i="5"/>
  <c r="AI130" i="5" s="1"/>
  <c r="I130" i="5"/>
  <c r="AA130" i="5" s="1"/>
  <c r="I124" i="5"/>
  <c r="AA124" i="5" s="1"/>
  <c r="I112" i="5"/>
  <c r="AA112" i="5" s="1"/>
  <c r="P129" i="5"/>
  <c r="AH129" i="5" s="1"/>
  <c r="I129" i="5"/>
  <c r="AA129" i="5" s="1"/>
  <c r="J129" i="5"/>
  <c r="AB129" i="5" s="1"/>
  <c r="M129" i="5"/>
  <c r="AE129" i="5" s="1"/>
  <c r="K129" i="5"/>
  <c r="AC129" i="5" s="1"/>
  <c r="K123" i="5"/>
  <c r="AC123" i="5" s="1"/>
  <c r="J117" i="5"/>
  <c r="AB117" i="5" s="1"/>
  <c r="M117" i="5"/>
  <c r="AE117" i="5" s="1"/>
  <c r="I117" i="5"/>
  <c r="AA117" i="5" s="1"/>
  <c r="P117" i="5"/>
  <c r="AH117" i="5" s="1"/>
  <c r="I111" i="5"/>
  <c r="AA111" i="5" s="1"/>
  <c r="P111" i="5"/>
  <c r="AH111" i="5" s="1"/>
  <c r="J111" i="5"/>
  <c r="AB111" i="5" s="1"/>
  <c r="Q111" i="5"/>
  <c r="AI111" i="5" s="1"/>
  <c r="M111" i="5"/>
  <c r="AE111" i="5" s="1"/>
  <c r="I11" i="5"/>
  <c r="Q11" i="5" s="1"/>
  <c r="I33" i="5"/>
  <c r="Q33" i="5" s="1"/>
  <c r="I54" i="5"/>
  <c r="Q54" i="5" s="1"/>
  <c r="L73" i="5"/>
  <c r="X73" i="5" s="1"/>
  <c r="J73" i="5"/>
  <c r="V73" i="5" s="1"/>
  <c r="K77" i="5"/>
  <c r="W77" i="5" s="1"/>
  <c r="J77" i="5"/>
  <c r="V77" i="5" s="1"/>
  <c r="L77" i="5"/>
  <c r="X77" i="5" s="1"/>
  <c r="L81" i="5"/>
  <c r="X81" i="5" s="1"/>
  <c r="K85" i="5"/>
  <c r="W85" i="5" s="1"/>
  <c r="L85" i="5"/>
  <c r="X85" i="5" s="1"/>
  <c r="I85" i="5"/>
  <c r="U85" i="5" s="1"/>
  <c r="K93" i="5"/>
  <c r="W93" i="5" s="1"/>
  <c r="L101" i="5"/>
  <c r="X101" i="5" s="1"/>
  <c r="I24" i="5"/>
  <c r="Q24" i="5" s="1"/>
  <c r="Z72" i="5"/>
  <c r="Z88" i="5"/>
  <c r="I96" i="5"/>
  <c r="U96" i="5" s="1"/>
  <c r="L100" i="5"/>
  <c r="X100" i="5" s="1"/>
  <c r="L104" i="5"/>
  <c r="X104" i="5" s="1"/>
  <c r="I50" i="5"/>
  <c r="Q50" i="5" s="1"/>
  <c r="I48" i="5"/>
  <c r="Q48" i="5" s="1"/>
  <c r="I19" i="5"/>
  <c r="Q19" i="5" s="1"/>
  <c r="I15" i="5"/>
  <c r="Q15" i="5" s="1"/>
  <c r="I25" i="5"/>
  <c r="Q25" i="5" s="1"/>
  <c r="I29" i="5"/>
  <c r="Q29" i="5" s="1"/>
  <c r="L78" i="5"/>
  <c r="X78" i="5" s="1"/>
  <c r="L98" i="5"/>
  <c r="X98" i="5" s="1"/>
  <c r="K98" i="5"/>
  <c r="W98" i="5" s="1"/>
  <c r="J98" i="5"/>
  <c r="V98" i="5" s="1"/>
  <c r="Z102" i="5"/>
  <c r="I87" i="5"/>
  <c r="U87" i="5" s="1"/>
  <c r="I83" i="5"/>
  <c r="U83" i="5" s="1"/>
  <c r="J32" i="5"/>
  <c r="R32" i="5" s="1"/>
  <c r="J41" i="5"/>
  <c r="R41" i="5" s="1"/>
  <c r="I14" i="5"/>
  <c r="Q14" i="5" s="1"/>
  <c r="I79" i="5"/>
  <c r="U79" i="5" s="1"/>
  <c r="Z87" i="5"/>
  <c r="K73" i="5"/>
  <c r="W73" i="5" s="1"/>
  <c r="I73" i="5"/>
  <c r="U73" i="5" s="1"/>
  <c r="Z73" i="5"/>
  <c r="J72" i="5"/>
  <c r="V72" i="5" s="1"/>
  <c r="L76" i="5"/>
  <c r="X76" i="5" s="1"/>
  <c r="I76" i="5"/>
  <c r="U76" i="5" s="1"/>
  <c r="I72" i="5"/>
  <c r="U72" i="5" s="1"/>
  <c r="J78" i="5"/>
  <c r="V78" i="5" s="1"/>
  <c r="I104" i="5"/>
  <c r="U104" i="5" s="1"/>
  <c r="I100" i="5"/>
  <c r="U100" i="5" s="1"/>
  <c r="J102" i="5"/>
  <c r="V102" i="5" s="1"/>
  <c r="K102" i="5"/>
  <c r="W102" i="5" s="1"/>
  <c r="L102" i="5"/>
  <c r="X102" i="5" s="1"/>
  <c r="Z104" i="5"/>
  <c r="Z100" i="5"/>
  <c r="J103" i="5"/>
  <c r="V103" i="5" s="1"/>
  <c r="K103" i="5"/>
  <c r="W103" i="5" s="1"/>
  <c r="L103" i="5"/>
  <c r="X103" i="5" s="1"/>
  <c r="Z105" i="5"/>
  <c r="Z101" i="5"/>
  <c r="I102" i="5"/>
  <c r="U102" i="5" s="1"/>
  <c r="J104" i="5"/>
  <c r="V104" i="5" s="1"/>
  <c r="J100" i="5"/>
  <c r="V100" i="5" s="1"/>
  <c r="K104" i="5"/>
  <c r="W104" i="5" s="1"/>
  <c r="K100" i="5"/>
  <c r="W100" i="5" s="1"/>
  <c r="I103" i="5"/>
  <c r="U103" i="5" s="1"/>
  <c r="J105" i="5"/>
  <c r="V105" i="5" s="1"/>
  <c r="J101" i="5"/>
  <c r="V101" i="5" s="1"/>
  <c r="Z98" i="5"/>
  <c r="I98" i="5"/>
  <c r="U98" i="5" s="1"/>
  <c r="I97" i="5"/>
  <c r="U97" i="5" s="1"/>
  <c r="J91" i="5"/>
  <c r="V91" i="5" s="1"/>
  <c r="J93" i="5"/>
  <c r="V93" i="5" s="1"/>
  <c r="K82" i="5"/>
  <c r="W82" i="5" s="1"/>
  <c r="L87" i="5"/>
  <c r="X87" i="5" s="1"/>
  <c r="L83" i="5"/>
  <c r="X83" i="5" s="1"/>
  <c r="Z85" i="5"/>
  <c r="Z81" i="5"/>
  <c r="J87" i="5"/>
  <c r="V87" i="5" s="1"/>
  <c r="J83" i="5"/>
  <c r="V83" i="5" s="1"/>
  <c r="K83" i="5"/>
  <c r="W83" i="5" s="1"/>
  <c r="L84" i="5"/>
  <c r="X84" i="5" s="1"/>
  <c r="L80" i="5"/>
  <c r="X80" i="5" s="1"/>
  <c r="J85" i="5"/>
  <c r="V85" i="5" s="1"/>
  <c r="K79" i="5"/>
  <c r="W79" i="5" s="1"/>
  <c r="I93" i="5"/>
  <c r="U93" i="5" s="1"/>
  <c r="K94" i="5"/>
  <c r="W94" i="5" s="1"/>
  <c r="L91" i="5"/>
  <c r="X91" i="5" s="1"/>
  <c r="Z96" i="5"/>
  <c r="K91" i="5"/>
  <c r="W91" i="5" s="1"/>
  <c r="L96" i="5"/>
  <c r="X96" i="5" s="1"/>
  <c r="Z93" i="5"/>
  <c r="I95" i="5"/>
  <c r="U95" i="5" s="1"/>
  <c r="I91" i="5"/>
  <c r="U91" i="5" s="1"/>
  <c r="J96" i="5"/>
  <c r="V96" i="5" s="1"/>
  <c r="K96" i="5"/>
  <c r="W96" i="5" s="1"/>
  <c r="L93" i="5"/>
  <c r="X93" i="5" s="1"/>
  <c r="Z94" i="5"/>
  <c r="Z90" i="5"/>
  <c r="I89" i="5"/>
  <c r="U89" i="5" s="1"/>
  <c r="K88" i="5"/>
  <c r="W88" i="5" s="1"/>
  <c r="I88" i="5"/>
  <c r="U88" i="5" s="1"/>
  <c r="L88" i="5"/>
  <c r="X88" i="5" s="1"/>
  <c r="J88" i="5"/>
  <c r="V88" i="5" s="1"/>
  <c r="K61" i="2"/>
  <c r="U61" i="2" s="1"/>
  <c r="T75" i="2"/>
  <c r="K67" i="2"/>
  <c r="U67" i="2" s="1"/>
  <c r="I76" i="2"/>
  <c r="S76" i="2" s="1"/>
  <c r="K76" i="2"/>
  <c r="U76" i="2" s="1"/>
  <c r="J38" i="5"/>
  <c r="R38" i="5" s="1"/>
  <c r="L56" i="5"/>
  <c r="T56" i="5" s="1"/>
  <c r="K56" i="5"/>
  <c r="S56" i="5" s="1"/>
  <c r="L34" i="5"/>
  <c r="T34" i="5" s="1"/>
  <c r="K25" i="5"/>
  <c r="S25" i="5" s="1"/>
  <c r="L25" i="5"/>
  <c r="T25" i="5" s="1"/>
  <c r="K13" i="5"/>
  <c r="S13" i="5" s="1"/>
  <c r="L13" i="5"/>
  <c r="T13" i="5" s="1"/>
  <c r="K54" i="5"/>
  <c r="S54" i="5" s="1"/>
  <c r="L50" i="5"/>
  <c r="T50" i="5" s="1"/>
  <c r="J57" i="4"/>
  <c r="P57" i="4" s="1"/>
  <c r="J58" i="4"/>
  <c r="P58" i="4" s="1"/>
  <c r="J64" i="4"/>
  <c r="P64" i="4" s="1"/>
  <c r="J62" i="4"/>
  <c r="P62" i="4" s="1"/>
  <c r="J61" i="4"/>
  <c r="P61" i="4" s="1"/>
  <c r="J59" i="4"/>
  <c r="P59" i="4" s="1"/>
  <c r="J60" i="4"/>
  <c r="P60" i="4" s="1"/>
  <c r="J56" i="4"/>
  <c r="P56" i="4" s="1"/>
  <c r="J55" i="4"/>
  <c r="P55" i="4" s="1"/>
  <c r="J53" i="4"/>
  <c r="P53" i="4" s="1"/>
  <c r="J52" i="4"/>
  <c r="P52" i="4" s="1"/>
  <c r="J50" i="4"/>
  <c r="P50" i="4" s="1"/>
  <c r="J48" i="4"/>
  <c r="P48" i="4" s="1"/>
  <c r="J47" i="4"/>
  <c r="P47" i="4" s="1"/>
  <c r="J46" i="4"/>
  <c r="P46" i="4" s="1"/>
  <c r="J42" i="4"/>
  <c r="P42" i="4" s="1"/>
  <c r="J40" i="4"/>
  <c r="P40" i="4" s="1"/>
  <c r="J39" i="4"/>
  <c r="P39" i="4" s="1"/>
  <c r="J38" i="4"/>
  <c r="P38" i="4" s="1"/>
  <c r="J37" i="4"/>
  <c r="P37" i="4" s="1"/>
  <c r="J36" i="4"/>
  <c r="P36" i="4" s="1"/>
  <c r="J35" i="4"/>
  <c r="P35" i="4" s="1"/>
  <c r="J34" i="4"/>
  <c r="P34" i="4" s="1"/>
  <c r="I12" i="4"/>
  <c r="Q12" i="4" s="1"/>
  <c r="M25" i="4"/>
  <c r="AC25" i="4" s="1"/>
  <c r="K25" i="4"/>
  <c r="AA25" i="4" s="1"/>
  <c r="I11" i="4"/>
  <c r="I26" i="4"/>
  <c r="Y26" i="4" s="1"/>
  <c r="P26" i="4"/>
  <c r="AF26" i="4" s="1"/>
  <c r="T12" i="3"/>
  <c r="S12" i="3"/>
  <c r="M51" i="3"/>
  <c r="AC51" i="3" s="1"/>
  <c r="P51" i="3"/>
  <c r="AF51" i="3" s="1"/>
  <c r="J51" i="3"/>
  <c r="Z51" i="3" s="1"/>
  <c r="I51" i="3"/>
  <c r="Y51" i="3" s="1"/>
  <c r="O51" i="3"/>
  <c r="AE51" i="3" s="1"/>
  <c r="K51" i="3"/>
  <c r="AA51" i="3" s="1"/>
  <c r="N51" i="3"/>
  <c r="AD51" i="3" s="1"/>
  <c r="O53" i="3"/>
  <c r="AE53" i="3" s="1"/>
  <c r="J53" i="3"/>
  <c r="Z53" i="3" s="1"/>
  <c r="P53" i="3"/>
  <c r="AF53" i="3" s="1"/>
  <c r="M53" i="3"/>
  <c r="AC53" i="3" s="1"/>
  <c r="N53" i="3"/>
  <c r="AD53" i="3" s="1"/>
  <c r="K53" i="3"/>
  <c r="AA53" i="3" s="1"/>
  <c r="I53" i="3"/>
  <c r="Y53" i="3" s="1"/>
  <c r="N55" i="3"/>
  <c r="AD55" i="3" s="1"/>
  <c r="K55" i="3"/>
  <c r="AA55" i="3" s="1"/>
  <c r="I55" i="3"/>
  <c r="Y55" i="3" s="1"/>
  <c r="O55" i="3"/>
  <c r="AE55" i="3" s="1"/>
  <c r="M57" i="3"/>
  <c r="AC57" i="3" s="1"/>
  <c r="N57" i="3"/>
  <c r="AD57" i="3" s="1"/>
  <c r="K57" i="3"/>
  <c r="AA57" i="3" s="1"/>
  <c r="J59" i="3"/>
  <c r="Z59" i="3" s="1"/>
  <c r="P59" i="3"/>
  <c r="AF59" i="3" s="1"/>
  <c r="O61" i="3"/>
  <c r="AE61" i="3" s="1"/>
  <c r="J61" i="3"/>
  <c r="Z61" i="3" s="1"/>
  <c r="P61" i="3"/>
  <c r="AF61" i="3" s="1"/>
  <c r="M61" i="3"/>
  <c r="AC61" i="3" s="1"/>
  <c r="N61" i="3"/>
  <c r="AD61" i="3" s="1"/>
  <c r="K61" i="3"/>
  <c r="AA61" i="3" s="1"/>
  <c r="I61" i="3"/>
  <c r="Y61" i="3" s="1"/>
  <c r="S23" i="3"/>
  <c r="T23" i="3"/>
  <c r="S31" i="3"/>
  <c r="T31" i="3"/>
  <c r="S39" i="3"/>
  <c r="M52" i="3"/>
  <c r="AC52" i="3" s="1"/>
  <c r="N52" i="3"/>
  <c r="AD52" i="3" s="1"/>
  <c r="K52" i="3"/>
  <c r="AA52" i="3" s="1"/>
  <c r="I52" i="3"/>
  <c r="Y52" i="3" s="1"/>
  <c r="O52" i="3"/>
  <c r="AE52" i="3" s="1"/>
  <c r="J52" i="3"/>
  <c r="Z52" i="3" s="1"/>
  <c r="P52" i="3"/>
  <c r="AF52" i="3" s="1"/>
  <c r="M54" i="3"/>
  <c r="AC54" i="3" s="1"/>
  <c r="N54" i="3"/>
  <c r="AD54" i="3" s="1"/>
  <c r="K54" i="3"/>
  <c r="AA54" i="3" s="1"/>
  <c r="I54" i="3"/>
  <c r="Y54" i="3" s="1"/>
  <c r="I56" i="3"/>
  <c r="Y56" i="3" s="1"/>
  <c r="O56" i="3"/>
  <c r="AE56" i="3" s="1"/>
  <c r="J56" i="3"/>
  <c r="Z56" i="3" s="1"/>
  <c r="O58" i="3"/>
  <c r="AE58" i="3" s="1"/>
  <c r="J58" i="3"/>
  <c r="Z58" i="3" s="1"/>
  <c r="O60" i="3"/>
  <c r="AE60" i="3" s="1"/>
  <c r="J60" i="3"/>
  <c r="Z60" i="3" s="1"/>
  <c r="P60" i="3"/>
  <c r="AF60" i="3" s="1"/>
  <c r="N63" i="3"/>
  <c r="AD63" i="3" s="1"/>
  <c r="M65" i="3"/>
  <c r="AC65" i="3" s="1"/>
  <c r="N65" i="3"/>
  <c r="AD65" i="3" s="1"/>
  <c r="M67" i="3"/>
  <c r="AC67" i="3" s="1"/>
  <c r="N67" i="3"/>
  <c r="AD67" i="3" s="1"/>
  <c r="K67" i="3"/>
  <c r="AA67" i="3" s="1"/>
  <c r="I67" i="3"/>
  <c r="Y67" i="3" s="1"/>
  <c r="O67" i="3"/>
  <c r="AE67" i="3" s="1"/>
  <c r="J67" i="3"/>
  <c r="Z67" i="3" s="1"/>
  <c r="P67" i="3"/>
  <c r="AF67" i="3" s="1"/>
  <c r="O69" i="3"/>
  <c r="AE69" i="3" s="1"/>
  <c r="J69" i="3"/>
  <c r="Z69" i="3" s="1"/>
  <c r="S17" i="3"/>
  <c r="T25" i="3"/>
  <c r="S25" i="3"/>
  <c r="T29" i="3"/>
  <c r="S41" i="3"/>
  <c r="T44" i="3"/>
  <c r="I62" i="3"/>
  <c r="Y62" i="3" s="1"/>
  <c r="K64" i="3"/>
  <c r="AA64" i="3" s="1"/>
  <c r="O64" i="3"/>
  <c r="AE64" i="3" s="1"/>
  <c r="J64" i="3"/>
  <c r="Z64" i="3" s="1"/>
  <c r="P64" i="3"/>
  <c r="AF64" i="3" s="1"/>
  <c r="P66" i="3"/>
  <c r="AF66" i="3" s="1"/>
  <c r="M66" i="3"/>
  <c r="AC66" i="3" s="1"/>
  <c r="N66" i="3"/>
  <c r="AD66" i="3" s="1"/>
  <c r="K66" i="3"/>
  <c r="AA66" i="3" s="1"/>
  <c r="I66" i="3"/>
  <c r="Y66" i="3" s="1"/>
  <c r="O66" i="3"/>
  <c r="AE66" i="3" s="1"/>
  <c r="J66" i="3"/>
  <c r="Z66" i="3" s="1"/>
  <c r="M68" i="3"/>
  <c r="AC68" i="3" s="1"/>
  <c r="M70" i="3"/>
  <c r="AC70" i="3" s="1"/>
  <c r="K75" i="2"/>
  <c r="U75" i="2" s="1"/>
  <c r="M76" i="2"/>
  <c r="W76" i="2" s="1"/>
  <c r="L76" i="2"/>
  <c r="V76" i="2" s="1"/>
  <c r="K73" i="2"/>
  <c r="U73" i="2" s="1"/>
  <c r="L71" i="2"/>
  <c r="V71" i="2" s="1"/>
  <c r="M71" i="2"/>
  <c r="W71" i="2" s="1"/>
  <c r="I71" i="2"/>
  <c r="S71" i="2" s="1"/>
  <c r="I65" i="2"/>
  <c r="S65" i="2" s="1"/>
  <c r="M65" i="2"/>
  <c r="W65" i="2" s="1"/>
  <c r="L65" i="2"/>
  <c r="V65" i="2" s="1"/>
  <c r="K69" i="2"/>
  <c r="U69" i="2" s="1"/>
  <c r="M69" i="2"/>
  <c r="W69" i="2" s="1"/>
  <c r="M75" i="2"/>
  <c r="W75" i="2" s="1"/>
  <c r="I75" i="2"/>
  <c r="S75" i="2" s="1"/>
  <c r="L75" i="2"/>
  <c r="V75" i="2" s="1"/>
  <c r="L67" i="2"/>
  <c r="V67" i="2" s="1"/>
  <c r="M67" i="2"/>
  <c r="W67" i="2" s="1"/>
  <c r="I67" i="2"/>
  <c r="S67" i="2" s="1"/>
  <c r="L66" i="2"/>
  <c r="V66" i="2" s="1"/>
  <c r="M66" i="2"/>
  <c r="W66" i="2" s="1"/>
  <c r="I66" i="2"/>
  <c r="S66" i="2" s="1"/>
  <c r="L68" i="2"/>
  <c r="V68" i="2" s="1"/>
  <c r="I68" i="2"/>
  <c r="S68" i="2" s="1"/>
  <c r="K68" i="2"/>
  <c r="U68" i="2" s="1"/>
  <c r="M64" i="2"/>
  <c r="W64" i="2" s="1"/>
  <c r="I64" i="2"/>
  <c r="S64" i="2" s="1"/>
  <c r="L64" i="2"/>
  <c r="V64" i="2" s="1"/>
  <c r="K64" i="2"/>
  <c r="U64" i="2" s="1"/>
  <c r="H40" i="2"/>
  <c r="H39" i="2"/>
  <c r="H38" i="2"/>
  <c r="H37" i="2"/>
  <c r="H36" i="2"/>
  <c r="H45" i="2"/>
  <c r="H44" i="2"/>
  <c r="H43" i="2"/>
  <c r="H42" i="2"/>
  <c r="H41" i="2"/>
  <c r="E55" i="2"/>
  <c r="K55" i="2" s="1"/>
  <c r="E54" i="2"/>
  <c r="K54" i="2" s="1"/>
  <c r="E53" i="2"/>
  <c r="E52" i="2"/>
  <c r="K52" i="2" s="1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H27" i="2"/>
  <c r="H28" i="2"/>
  <c r="H29" i="2"/>
  <c r="H30" i="2"/>
  <c r="H26" i="2"/>
  <c r="H17" i="2"/>
  <c r="H18" i="2"/>
  <c r="H19" i="2"/>
  <c r="H20" i="2"/>
  <c r="H16" i="2"/>
  <c r="H12" i="2"/>
  <c r="H13" i="2"/>
  <c r="H14" i="2"/>
  <c r="H15" i="2"/>
  <c r="H11" i="2"/>
  <c r="E30" i="2"/>
  <c r="J30" i="2" s="1"/>
  <c r="E25" i="2"/>
  <c r="J25" i="2" s="1"/>
  <c r="E20" i="2"/>
  <c r="J20" i="2" s="1"/>
  <c r="E15" i="2"/>
  <c r="E29" i="2"/>
  <c r="J29" i="2" s="1"/>
  <c r="E24" i="2"/>
  <c r="E19" i="2"/>
  <c r="E14" i="2"/>
  <c r="J14" i="2" s="1"/>
  <c r="E28" i="2"/>
  <c r="J28" i="2" s="1"/>
  <c r="E23" i="2"/>
  <c r="E18" i="2"/>
  <c r="E13" i="2"/>
  <c r="E27" i="2"/>
  <c r="J27" i="2" s="1"/>
  <c r="E22" i="2"/>
  <c r="E17" i="2"/>
  <c r="J17" i="2" s="1"/>
  <c r="E12" i="2"/>
  <c r="J12" i="2" s="1"/>
  <c r="E26" i="2"/>
  <c r="J26" i="2" s="1"/>
  <c r="E21" i="2"/>
  <c r="E16" i="2"/>
  <c r="J16" i="2" s="1"/>
  <c r="E11" i="2"/>
  <c r="H25" i="2"/>
  <c r="H24" i="2"/>
  <c r="H23" i="2"/>
  <c r="H22" i="2"/>
  <c r="H21" i="2"/>
  <c r="E67" i="1"/>
  <c r="E64" i="1"/>
  <c r="E63" i="1"/>
  <c r="E61" i="1"/>
  <c r="E58" i="1"/>
  <c r="E66" i="1"/>
  <c r="E60" i="1"/>
  <c r="E57" i="1"/>
  <c r="E65" i="1"/>
  <c r="E62" i="1"/>
  <c r="E59" i="1"/>
  <c r="E56" i="1"/>
  <c r="H66" i="1"/>
  <c r="H67" i="1"/>
  <c r="H65" i="1"/>
  <c r="H46" i="1"/>
  <c r="H63" i="1"/>
  <c r="H64" i="1"/>
  <c r="H62" i="1"/>
  <c r="H41" i="1"/>
  <c r="H60" i="1"/>
  <c r="H61" i="1"/>
  <c r="H59" i="1"/>
  <c r="K59" i="1" s="1"/>
  <c r="U59" i="1" s="1"/>
  <c r="H58" i="1"/>
  <c r="H57" i="1"/>
  <c r="H56" i="1"/>
  <c r="E50" i="1"/>
  <c r="E45" i="1"/>
  <c r="E40" i="1"/>
  <c r="E35" i="1"/>
  <c r="E25" i="1"/>
  <c r="E44" i="1"/>
  <c r="E49" i="1"/>
  <c r="E39" i="1"/>
  <c r="E34" i="1"/>
  <c r="E14" i="1"/>
  <c r="E48" i="1"/>
  <c r="E43" i="1"/>
  <c r="E38" i="1"/>
  <c r="E33" i="1"/>
  <c r="E47" i="1"/>
  <c r="E37" i="1"/>
  <c r="E42" i="1"/>
  <c r="E32" i="1"/>
  <c r="H47" i="1"/>
  <c r="H48" i="1"/>
  <c r="H49" i="1"/>
  <c r="H50" i="1"/>
  <c r="H42" i="1"/>
  <c r="H43" i="1"/>
  <c r="H44" i="1"/>
  <c r="H45" i="1"/>
  <c r="H37" i="1"/>
  <c r="H38" i="1"/>
  <c r="H39" i="1"/>
  <c r="H40" i="1"/>
  <c r="H36" i="1"/>
  <c r="E46" i="1"/>
  <c r="E41" i="1"/>
  <c r="E36" i="1"/>
  <c r="H32" i="1"/>
  <c r="H33" i="1"/>
  <c r="H34" i="1"/>
  <c r="K34" i="1" s="1"/>
  <c r="H35" i="1"/>
  <c r="H31" i="1"/>
  <c r="E31" i="1"/>
  <c r="E11" i="1"/>
  <c r="P70" i="3" l="1"/>
  <c r="AF70" i="3" s="1"/>
  <c r="K62" i="3"/>
  <c r="AA62" i="3" s="1"/>
  <c r="K34" i="5"/>
  <c r="S34" i="5" s="1"/>
  <c r="M107" i="3"/>
  <c r="W107" i="3" s="1"/>
  <c r="K107" i="3"/>
  <c r="U107" i="3" s="1"/>
  <c r="O59" i="3"/>
  <c r="AE59" i="3" s="1"/>
  <c r="L105" i="5"/>
  <c r="X105" i="5" s="1"/>
  <c r="R36" i="3"/>
  <c r="J24" i="2"/>
  <c r="I59" i="3"/>
  <c r="Y59" i="3" s="1"/>
  <c r="P122" i="5"/>
  <c r="AH122" i="5" s="1"/>
  <c r="M122" i="5"/>
  <c r="AE122" i="5" s="1"/>
  <c r="Y90" i="5"/>
  <c r="J11" i="6"/>
  <c r="R11" i="6" s="1"/>
  <c r="J18" i="2"/>
  <c r="I72" i="2"/>
  <c r="S72" i="2" s="1"/>
  <c r="M70" i="2"/>
  <c r="W70" i="2" s="1"/>
  <c r="K70" i="3"/>
  <c r="AA70" i="3" s="1"/>
  <c r="K68" i="3"/>
  <c r="AA68" i="3" s="1"/>
  <c r="J62" i="3"/>
  <c r="Z62" i="3" s="1"/>
  <c r="M69" i="3"/>
  <c r="AC69" i="3" s="1"/>
  <c r="I63" i="3"/>
  <c r="Y63" i="3" s="1"/>
  <c r="N60" i="3"/>
  <c r="AD60" i="3" s="1"/>
  <c r="P58" i="3"/>
  <c r="AF58" i="3" s="1"/>
  <c r="J54" i="3"/>
  <c r="Z54" i="3" s="1"/>
  <c r="M59" i="3"/>
  <c r="AC59" i="3" s="1"/>
  <c r="P55" i="3"/>
  <c r="AF55" i="3" s="1"/>
  <c r="K18" i="4"/>
  <c r="S18" i="4" s="1"/>
  <c r="I15" i="4"/>
  <c r="Q15" i="4" s="1"/>
  <c r="K80" i="5"/>
  <c r="W80" i="5" s="1"/>
  <c r="I105" i="5"/>
  <c r="U105" i="5" s="1"/>
  <c r="K70" i="5"/>
  <c r="W70" i="5" s="1"/>
  <c r="L79" i="5"/>
  <c r="X79" i="5" s="1"/>
  <c r="I82" i="5"/>
  <c r="U82" i="5" s="1"/>
  <c r="Q123" i="5"/>
  <c r="AI123" i="5" s="1"/>
  <c r="P124" i="5"/>
  <c r="AH124" i="5" s="1"/>
  <c r="Q117" i="5"/>
  <c r="AI117" i="5" s="1"/>
  <c r="N70" i="5"/>
  <c r="Z70" i="5" s="1"/>
  <c r="M97" i="3"/>
  <c r="W97" i="3" s="1"/>
  <c r="AG122" i="5"/>
  <c r="Y74" i="5"/>
  <c r="R14" i="3"/>
  <c r="Y77" i="5"/>
  <c r="L123" i="5"/>
  <c r="N117" i="5"/>
  <c r="AF117" i="5" s="1"/>
  <c r="L124" i="5"/>
  <c r="AD124" i="5" s="1"/>
  <c r="I34" i="6"/>
  <c r="Q34" i="6" s="1"/>
  <c r="L22" i="6"/>
  <c r="L25" i="6"/>
  <c r="T25" i="6" s="1"/>
  <c r="J17" i="6"/>
  <c r="R17" i="6" s="1"/>
  <c r="I74" i="5"/>
  <c r="U74" i="5" s="1"/>
  <c r="L42" i="3"/>
  <c r="T42" i="3" s="1"/>
  <c r="P68" i="3"/>
  <c r="AF68" i="3" s="1"/>
  <c r="N62" i="3"/>
  <c r="AD62" i="3" s="1"/>
  <c r="I58" i="3"/>
  <c r="Y58" i="3" s="1"/>
  <c r="K74" i="5"/>
  <c r="W74" i="5" s="1"/>
  <c r="P123" i="5"/>
  <c r="AH123" i="5" s="1"/>
  <c r="Q20" i="3"/>
  <c r="J70" i="3"/>
  <c r="Z70" i="3" s="1"/>
  <c r="J68" i="3"/>
  <c r="Z68" i="3" s="1"/>
  <c r="M62" i="3"/>
  <c r="AC62" i="3" s="1"/>
  <c r="K56" i="3"/>
  <c r="AA56" i="3" s="1"/>
  <c r="P57" i="3"/>
  <c r="AF57" i="3" s="1"/>
  <c r="K62" i="2"/>
  <c r="U62" i="2" s="1"/>
  <c r="J79" i="5"/>
  <c r="V79" i="5" s="1"/>
  <c r="I93" i="3"/>
  <c r="S93" i="3" s="1"/>
  <c r="L24" i="3"/>
  <c r="T24" i="3" s="1"/>
  <c r="L122" i="5"/>
  <c r="AD122" i="5" s="1"/>
  <c r="K43" i="1"/>
  <c r="Q43" i="1" s="1"/>
  <c r="J21" i="2"/>
  <c r="J23" i="2"/>
  <c r="I63" i="2"/>
  <c r="S63" i="2" s="1"/>
  <c r="N70" i="3"/>
  <c r="AD70" i="3" s="1"/>
  <c r="N68" i="3"/>
  <c r="AD68" i="3" s="1"/>
  <c r="O62" i="3"/>
  <c r="AE62" i="3" s="1"/>
  <c r="P69" i="3"/>
  <c r="AF69" i="3" s="1"/>
  <c r="K63" i="3"/>
  <c r="AA63" i="3" s="1"/>
  <c r="M60" i="3"/>
  <c r="AC60" i="3" s="1"/>
  <c r="P56" i="3"/>
  <c r="AF56" i="3" s="1"/>
  <c r="O54" i="3"/>
  <c r="AE54" i="3" s="1"/>
  <c r="I57" i="3"/>
  <c r="Y57" i="3" s="1"/>
  <c r="J55" i="3"/>
  <c r="Z55" i="3" s="1"/>
  <c r="L18" i="4"/>
  <c r="T18" i="4" s="1"/>
  <c r="K50" i="5"/>
  <c r="S50" i="5" s="1"/>
  <c r="J80" i="5"/>
  <c r="V80" i="5" s="1"/>
  <c r="K101" i="5"/>
  <c r="W101" i="5" s="1"/>
  <c r="J74" i="5"/>
  <c r="V74" i="5" s="1"/>
  <c r="L72" i="5"/>
  <c r="X72" i="5" s="1"/>
  <c r="I77" i="5"/>
  <c r="U77" i="5" s="1"/>
  <c r="K78" i="5"/>
  <c r="W78" i="5" s="1"/>
  <c r="K117" i="5"/>
  <c r="AC117" i="5" s="1"/>
  <c r="I123" i="5"/>
  <c r="AA123" i="5" s="1"/>
  <c r="J124" i="5"/>
  <c r="AB124" i="5" s="1"/>
  <c r="K97" i="3"/>
  <c r="U97" i="3" s="1"/>
  <c r="R24" i="3"/>
  <c r="R15" i="3"/>
  <c r="Y76" i="5"/>
  <c r="L36" i="3"/>
  <c r="T36" i="3" s="1"/>
  <c r="S34" i="6"/>
  <c r="K43" i="3"/>
  <c r="S43" i="3" s="1"/>
  <c r="I22" i="6"/>
  <c r="Q22" i="6" s="1"/>
  <c r="K38" i="1"/>
  <c r="Q38" i="1" s="1"/>
  <c r="J19" i="2"/>
  <c r="M93" i="3"/>
  <c r="W93" i="3" s="1"/>
  <c r="Y71" i="5"/>
  <c r="S11" i="6"/>
  <c r="O65" i="3"/>
  <c r="AE65" i="3" s="1"/>
  <c r="K58" i="3"/>
  <c r="AA58" i="3" s="1"/>
  <c r="N25" i="4"/>
  <c r="AD25" i="4" s="1"/>
  <c r="L74" i="5"/>
  <c r="X74" i="5" s="1"/>
  <c r="O70" i="3"/>
  <c r="AE70" i="3" s="1"/>
  <c r="O68" i="3"/>
  <c r="AE68" i="3" s="1"/>
  <c r="N64" i="3"/>
  <c r="AD64" i="3" s="1"/>
  <c r="P62" i="3"/>
  <c r="AF62" i="3" s="1"/>
  <c r="K69" i="3"/>
  <c r="AA69" i="3" s="1"/>
  <c r="P63" i="3"/>
  <c r="AF63" i="3" s="1"/>
  <c r="I60" i="3"/>
  <c r="Y60" i="3" s="1"/>
  <c r="N58" i="3"/>
  <c r="AD58" i="3" s="1"/>
  <c r="N56" i="3"/>
  <c r="AD56" i="3" s="1"/>
  <c r="P54" i="3"/>
  <c r="AF54" i="3" s="1"/>
  <c r="K59" i="3"/>
  <c r="AA59" i="3" s="1"/>
  <c r="J57" i="3"/>
  <c r="Z57" i="3" s="1"/>
  <c r="M55" i="3"/>
  <c r="AC55" i="3" s="1"/>
  <c r="P25" i="4"/>
  <c r="AF25" i="4" s="1"/>
  <c r="K14" i="4"/>
  <c r="S14" i="4" s="1"/>
  <c r="L17" i="5"/>
  <c r="T17" i="5" s="1"/>
  <c r="I71" i="5"/>
  <c r="U71" i="5" s="1"/>
  <c r="K72" i="5"/>
  <c r="W72" i="5" s="1"/>
  <c r="I60" i="5"/>
  <c r="Q60" i="5" s="1"/>
  <c r="M124" i="5"/>
  <c r="AE124" i="5" s="1"/>
  <c r="I122" i="5"/>
  <c r="AA122" i="5" s="1"/>
  <c r="K122" i="5"/>
  <c r="AC122" i="5" s="1"/>
  <c r="AG123" i="5"/>
  <c r="I106" i="3"/>
  <c r="S106" i="3" s="1"/>
  <c r="L80" i="3"/>
  <c r="V80" i="3" s="1"/>
  <c r="K93" i="3"/>
  <c r="U93" i="3" s="1"/>
  <c r="R43" i="3"/>
  <c r="R16" i="3"/>
  <c r="R55" i="5"/>
  <c r="Y94" i="5"/>
  <c r="R37" i="3"/>
  <c r="R42" i="3"/>
  <c r="K16" i="3"/>
  <c r="S16" i="3" s="1"/>
  <c r="N122" i="5"/>
  <c r="AF122" i="5" s="1"/>
  <c r="J34" i="6"/>
  <c r="R34" i="6" s="1"/>
  <c r="L17" i="6"/>
  <c r="T17" i="6" s="1"/>
  <c r="I107" i="3"/>
  <c r="S107" i="3" s="1"/>
  <c r="L107" i="3"/>
  <c r="V107" i="3" s="1"/>
  <c r="I11" i="3"/>
  <c r="Q11" i="3" s="1"/>
  <c r="K124" i="5"/>
  <c r="AC124" i="5" s="1"/>
  <c r="L99" i="3"/>
  <c r="V99" i="3" s="1"/>
  <c r="K42" i="3"/>
  <c r="S42" i="3" s="1"/>
  <c r="J22" i="2"/>
  <c r="K70" i="2"/>
  <c r="U70" i="2" s="1"/>
  <c r="I69" i="3"/>
  <c r="Y69" i="3" s="1"/>
  <c r="L71" i="5"/>
  <c r="X71" i="5" s="1"/>
  <c r="Y86" i="5"/>
  <c r="K71" i="5"/>
  <c r="W71" i="5" s="1"/>
  <c r="L70" i="2"/>
  <c r="V70" i="2" s="1"/>
  <c r="J11" i="2"/>
  <c r="I11" i="2" s="1"/>
  <c r="J13" i="2"/>
  <c r="J15" i="2"/>
  <c r="I70" i="2"/>
  <c r="S70" i="2" s="1"/>
  <c r="I70" i="3"/>
  <c r="Y70" i="3" s="1"/>
  <c r="I68" i="3"/>
  <c r="Y68" i="3" s="1"/>
  <c r="M64" i="3"/>
  <c r="AC64" i="3" s="1"/>
  <c r="N69" i="3"/>
  <c r="AD69" i="3" s="1"/>
  <c r="J63" i="3"/>
  <c r="Z63" i="3" s="1"/>
  <c r="M58" i="3"/>
  <c r="AC58" i="3" s="1"/>
  <c r="M56" i="3"/>
  <c r="AC56" i="3" s="1"/>
  <c r="N59" i="3"/>
  <c r="AD59" i="3" s="1"/>
  <c r="O57" i="3"/>
  <c r="AE57" i="3" s="1"/>
  <c r="L14" i="4"/>
  <c r="T14" i="4" s="1"/>
  <c r="K17" i="5"/>
  <c r="S17" i="5" s="1"/>
  <c r="K92" i="5"/>
  <c r="W92" i="5" s="1"/>
  <c r="I80" i="5"/>
  <c r="U80" i="5" s="1"/>
  <c r="I101" i="5"/>
  <c r="U101" i="5" s="1"/>
  <c r="I75" i="5"/>
  <c r="U75" i="5" s="1"/>
  <c r="J71" i="5"/>
  <c r="V71" i="5" s="1"/>
  <c r="J123" i="5"/>
  <c r="AB123" i="5" s="1"/>
  <c r="K106" i="3"/>
  <c r="U106" i="3" s="1"/>
  <c r="L93" i="3"/>
  <c r="V93" i="3" s="1"/>
  <c r="Q43" i="3"/>
  <c r="Q16" i="3"/>
  <c r="Y78" i="5"/>
  <c r="K11" i="5"/>
  <c r="S11" i="5" s="1"/>
  <c r="K15" i="5"/>
  <c r="S15" i="5" s="1"/>
  <c r="K91" i="3"/>
  <c r="U91" i="3" s="1"/>
  <c r="I91" i="3"/>
  <c r="S91" i="3" s="1"/>
  <c r="K88" i="3"/>
  <c r="U88" i="3" s="1"/>
  <c r="L95" i="3"/>
  <c r="V95" i="3" s="1"/>
  <c r="K99" i="3"/>
  <c r="U99" i="3" s="1"/>
  <c r="M99" i="3"/>
  <c r="W99" i="3" s="1"/>
  <c r="R37" i="5"/>
  <c r="K63" i="2"/>
  <c r="U63" i="2" s="1"/>
  <c r="J24" i="6"/>
  <c r="R24" i="6" s="1"/>
  <c r="I24" i="6"/>
  <c r="Q24" i="6" s="1"/>
  <c r="L24" i="6"/>
  <c r="T24" i="6" s="1"/>
  <c r="J20" i="6"/>
  <c r="R20" i="6" s="1"/>
  <c r="I20" i="6"/>
  <c r="Q20" i="6" s="1"/>
  <c r="L20" i="6"/>
  <c r="T20" i="6" s="1"/>
  <c r="I75" i="6"/>
  <c r="S75" i="6" s="1"/>
  <c r="K75" i="6"/>
  <c r="U75" i="6" s="1"/>
  <c r="L75" i="6"/>
  <c r="V75" i="6" s="1"/>
  <c r="M75" i="6"/>
  <c r="W75" i="6" s="1"/>
  <c r="J28" i="6"/>
  <c r="R28" i="6" s="1"/>
  <c r="I28" i="6"/>
  <c r="Q28" i="6" s="1"/>
  <c r="L28" i="6"/>
  <c r="T28" i="6" s="1"/>
  <c r="L35" i="6"/>
  <c r="T35" i="6" s="1"/>
  <c r="J35" i="6"/>
  <c r="R35" i="6" s="1"/>
  <c r="I35" i="6"/>
  <c r="Q35" i="6" s="1"/>
  <c r="J37" i="6"/>
  <c r="R37" i="6" s="1"/>
  <c r="I37" i="6"/>
  <c r="Q37" i="6" s="1"/>
  <c r="L37" i="6"/>
  <c r="T37" i="6" s="1"/>
  <c r="J32" i="6"/>
  <c r="R32" i="6" s="1"/>
  <c r="I32" i="6"/>
  <c r="Q32" i="6" s="1"/>
  <c r="L32" i="6"/>
  <c r="T32" i="6" s="1"/>
  <c r="L31" i="6"/>
  <c r="T31" i="6" s="1"/>
  <c r="J31" i="6"/>
  <c r="R31" i="6" s="1"/>
  <c r="I31" i="6"/>
  <c r="Q31" i="6" s="1"/>
  <c r="S20" i="6"/>
  <c r="T75" i="6"/>
  <c r="L112" i="5"/>
  <c r="AD112" i="5" s="1"/>
  <c r="N112" i="5"/>
  <c r="AF112" i="5" s="1"/>
  <c r="L130" i="5"/>
  <c r="AD130" i="5" s="1"/>
  <c r="N130" i="5"/>
  <c r="AF130" i="5" s="1"/>
  <c r="N133" i="5"/>
  <c r="L133" i="5"/>
  <c r="AD133" i="5" s="1"/>
  <c r="N121" i="5"/>
  <c r="AF121" i="5" s="1"/>
  <c r="L121" i="5"/>
  <c r="AD121" i="5" s="1"/>
  <c r="N126" i="5"/>
  <c r="AF126" i="5" s="1"/>
  <c r="L126" i="5"/>
  <c r="AD126" i="5" s="1"/>
  <c r="L132" i="5"/>
  <c r="AD132" i="5" s="1"/>
  <c r="N132" i="5"/>
  <c r="AF132" i="5" s="1"/>
  <c r="N134" i="5"/>
  <c r="AF134" i="5" s="1"/>
  <c r="L134" i="5"/>
  <c r="AD134" i="5" s="1"/>
  <c r="K14" i="5"/>
  <c r="S14" i="5" s="1"/>
  <c r="L24" i="5"/>
  <c r="T24" i="5" s="1"/>
  <c r="K90" i="5"/>
  <c r="W90" i="5" s="1"/>
  <c r="I52" i="5"/>
  <c r="I47" i="5"/>
  <c r="I39" i="5"/>
  <c r="I21" i="5"/>
  <c r="I43" i="5"/>
  <c r="Y81" i="5"/>
  <c r="K51" i="5"/>
  <c r="S51" i="5" s="1"/>
  <c r="L55" i="5"/>
  <c r="T55" i="5" s="1"/>
  <c r="K19" i="5"/>
  <c r="S19" i="5" s="1"/>
  <c r="K24" i="5"/>
  <c r="S24" i="5" s="1"/>
  <c r="L60" i="5"/>
  <c r="T60" i="5" s="1"/>
  <c r="L92" i="5"/>
  <c r="X92" i="5" s="1"/>
  <c r="I90" i="5"/>
  <c r="U90" i="5" s="1"/>
  <c r="L95" i="5"/>
  <c r="X95" i="5" s="1"/>
  <c r="L99" i="5"/>
  <c r="X99" i="5" s="1"/>
  <c r="J95" i="5"/>
  <c r="V95" i="5" s="1"/>
  <c r="L90" i="5"/>
  <c r="X90" i="5" s="1"/>
  <c r="I78" i="5"/>
  <c r="U78" i="5" s="1"/>
  <c r="I92" i="5"/>
  <c r="U92" i="5" s="1"/>
  <c r="I64" i="5"/>
  <c r="K81" i="5"/>
  <c r="W81" i="5" s="1"/>
  <c r="I35" i="5"/>
  <c r="I36" i="5"/>
  <c r="Q112" i="5"/>
  <c r="AI112" i="5" s="1"/>
  <c r="K112" i="5"/>
  <c r="AC112" i="5" s="1"/>
  <c r="P130" i="5"/>
  <c r="AH130" i="5" s="1"/>
  <c r="I121" i="5"/>
  <c r="AA121" i="5" s="1"/>
  <c r="M133" i="5"/>
  <c r="AE133" i="5" s="1"/>
  <c r="K75" i="5"/>
  <c r="W75" i="5" s="1"/>
  <c r="Y98" i="5"/>
  <c r="N116" i="5"/>
  <c r="AF116" i="5" s="1"/>
  <c r="L116" i="5"/>
  <c r="AD116" i="5" s="1"/>
  <c r="K111" i="5"/>
  <c r="AC111" i="5" s="1"/>
  <c r="N111" i="5"/>
  <c r="AF111" i="5" s="1"/>
  <c r="L111" i="5"/>
  <c r="AD111" i="5" s="1"/>
  <c r="L51" i="5"/>
  <c r="T51" i="5" s="1"/>
  <c r="L19" i="5"/>
  <c r="T19" i="5" s="1"/>
  <c r="I45" i="5"/>
  <c r="K45" i="5" s="1"/>
  <c r="S45" i="5" s="1"/>
  <c r="I12" i="5"/>
  <c r="L12" i="5" s="1"/>
  <c r="T12" i="5" s="1"/>
  <c r="P112" i="5"/>
  <c r="AH112" i="5" s="1"/>
  <c r="J130" i="5"/>
  <c r="AB130" i="5" s="1"/>
  <c r="L15" i="5"/>
  <c r="T15" i="5" s="1"/>
  <c r="L46" i="5"/>
  <c r="T46" i="5" s="1"/>
  <c r="K60" i="5"/>
  <c r="S60" i="5" s="1"/>
  <c r="L63" i="5"/>
  <c r="T63" i="5" s="1"/>
  <c r="J92" i="5"/>
  <c r="V92" i="5" s="1"/>
  <c r="K95" i="5"/>
  <c r="W95" i="5" s="1"/>
  <c r="J90" i="5"/>
  <c r="V90" i="5" s="1"/>
  <c r="J81" i="5"/>
  <c r="V81" i="5" s="1"/>
  <c r="J82" i="5"/>
  <c r="V82" i="5" s="1"/>
  <c r="J99" i="5"/>
  <c r="V99" i="5" s="1"/>
  <c r="L70" i="5"/>
  <c r="X70" i="5" s="1"/>
  <c r="L82" i="5"/>
  <c r="X82" i="5" s="1"/>
  <c r="I40" i="5"/>
  <c r="I81" i="5"/>
  <c r="U81" i="5" s="1"/>
  <c r="J112" i="5"/>
  <c r="AB112" i="5" s="1"/>
  <c r="M130" i="5"/>
  <c r="AE130" i="5" s="1"/>
  <c r="K130" i="5"/>
  <c r="AC130" i="5" s="1"/>
  <c r="P121" i="5"/>
  <c r="AH121" i="5" s="1"/>
  <c r="K121" i="5"/>
  <c r="AC121" i="5" s="1"/>
  <c r="AG130" i="5"/>
  <c r="Y82" i="5"/>
  <c r="Y92" i="5"/>
  <c r="K99" i="5"/>
  <c r="W99" i="5" s="1"/>
  <c r="J26" i="4"/>
  <c r="Z26" i="4" s="1"/>
  <c r="N26" i="4"/>
  <c r="AD26" i="4" s="1"/>
  <c r="I13" i="4"/>
  <c r="Q13" i="4" s="1"/>
  <c r="J24" i="4"/>
  <c r="Z24" i="4" s="1"/>
  <c r="K26" i="4"/>
  <c r="AA26" i="4" s="1"/>
  <c r="J25" i="4"/>
  <c r="Z25" i="4" s="1"/>
  <c r="P24" i="4"/>
  <c r="AF24" i="4" s="1"/>
  <c r="O24" i="4"/>
  <c r="AE24" i="4" s="1"/>
  <c r="L89" i="3"/>
  <c r="V89" i="3" s="1"/>
  <c r="I97" i="3"/>
  <c r="S97" i="3" s="1"/>
  <c r="K77" i="3"/>
  <c r="U77" i="3" s="1"/>
  <c r="M80" i="3"/>
  <c r="W80" i="3" s="1"/>
  <c r="M91" i="3"/>
  <c r="W91" i="3" s="1"/>
  <c r="L88" i="3"/>
  <c r="V88" i="3" s="1"/>
  <c r="L84" i="3"/>
  <c r="V84" i="3" s="1"/>
  <c r="I101" i="3"/>
  <c r="S101" i="3" s="1"/>
  <c r="K95" i="3"/>
  <c r="U95" i="3" s="1"/>
  <c r="I99" i="3"/>
  <c r="S99" i="3" s="1"/>
  <c r="M78" i="3"/>
  <c r="W78" i="3" s="1"/>
  <c r="I81" i="3"/>
  <c r="S81" i="3" s="1"/>
  <c r="I64" i="3"/>
  <c r="Y64" i="3" s="1"/>
  <c r="O63" i="3"/>
  <c r="AE63" i="3" s="1"/>
  <c r="M63" i="3"/>
  <c r="AC63" i="3" s="1"/>
  <c r="M94" i="3"/>
  <c r="W94" i="3" s="1"/>
  <c r="Q58" i="5"/>
  <c r="L58" i="5"/>
  <c r="T58" i="5" s="1"/>
  <c r="K58" i="5"/>
  <c r="S58" i="5" s="1"/>
  <c r="R58" i="5"/>
  <c r="L21" i="3"/>
  <c r="K21" i="3"/>
  <c r="L38" i="3"/>
  <c r="T38" i="3" s="1"/>
  <c r="K38" i="3"/>
  <c r="S38" i="3" s="1"/>
  <c r="K35" i="3"/>
  <c r="L35" i="3"/>
  <c r="L62" i="2"/>
  <c r="V62" i="2" s="1"/>
  <c r="L69" i="2"/>
  <c r="V69" i="2" s="1"/>
  <c r="I65" i="3"/>
  <c r="Y65" i="3" s="1"/>
  <c r="P65" i="3"/>
  <c r="AF65" i="3" s="1"/>
  <c r="L54" i="5"/>
  <c r="T54" i="5" s="1"/>
  <c r="K63" i="5"/>
  <c r="S63" i="5" s="1"/>
  <c r="L89" i="5"/>
  <c r="X89" i="5" s="1"/>
  <c r="I84" i="5"/>
  <c r="U84" i="5" s="1"/>
  <c r="J84" i="5"/>
  <c r="V84" i="5" s="1"/>
  <c r="K86" i="5"/>
  <c r="W86" i="5" s="1"/>
  <c r="K97" i="5"/>
  <c r="W97" i="5" s="1"/>
  <c r="L75" i="5"/>
  <c r="X75" i="5" s="1"/>
  <c r="J75" i="5"/>
  <c r="V75" i="5" s="1"/>
  <c r="I86" i="5"/>
  <c r="U86" i="5" s="1"/>
  <c r="Z76" i="5"/>
  <c r="Z97" i="5"/>
  <c r="I18" i="5"/>
  <c r="I30" i="5"/>
  <c r="I53" i="5"/>
  <c r="P133" i="5"/>
  <c r="AH133" i="5" s="1"/>
  <c r="K125" i="5"/>
  <c r="AC125" i="5" s="1"/>
  <c r="J115" i="5"/>
  <c r="AB115" i="5" s="1"/>
  <c r="K115" i="5"/>
  <c r="AC115" i="5" s="1"/>
  <c r="K92" i="3"/>
  <c r="U92" i="3" s="1"/>
  <c r="R19" i="6"/>
  <c r="I16" i="4"/>
  <c r="K85" i="3"/>
  <c r="U85" i="3" s="1"/>
  <c r="L77" i="3"/>
  <c r="V77" i="3" s="1"/>
  <c r="L105" i="3"/>
  <c r="V105" i="3" s="1"/>
  <c r="K104" i="3"/>
  <c r="U104" i="3" s="1"/>
  <c r="K94" i="3"/>
  <c r="U94" i="3" s="1"/>
  <c r="R21" i="6"/>
  <c r="R22" i="6"/>
  <c r="L33" i="3"/>
  <c r="K33" i="3"/>
  <c r="L18" i="3"/>
  <c r="K18" i="3"/>
  <c r="P125" i="5"/>
  <c r="AH125" i="5" s="1"/>
  <c r="L45" i="3"/>
  <c r="K45" i="3"/>
  <c r="L22" i="3"/>
  <c r="K22" i="3"/>
  <c r="I17" i="4"/>
  <c r="Q17" i="4" s="1"/>
  <c r="N27" i="4"/>
  <c r="AD27" i="4" s="1"/>
  <c r="L29" i="5"/>
  <c r="T29" i="5" s="1"/>
  <c r="L48" i="5"/>
  <c r="T48" i="5" s="1"/>
  <c r="K89" i="5"/>
  <c r="W89" i="5" s="1"/>
  <c r="K84" i="5"/>
  <c r="W84" i="5" s="1"/>
  <c r="J86" i="5"/>
  <c r="V86" i="5" s="1"/>
  <c r="J97" i="5"/>
  <c r="V97" i="5" s="1"/>
  <c r="I99" i="5"/>
  <c r="U99" i="5" s="1"/>
  <c r="K76" i="5"/>
  <c r="W76" i="5" s="1"/>
  <c r="Z84" i="5"/>
  <c r="Z89" i="5"/>
  <c r="AF133" i="5"/>
  <c r="K127" i="5"/>
  <c r="AC127" i="5" s="1"/>
  <c r="Q125" i="5"/>
  <c r="AI125" i="5" s="1"/>
  <c r="AD123" i="5"/>
  <c r="Q115" i="5"/>
  <c r="AI115" i="5" s="1"/>
  <c r="AF115" i="5"/>
  <c r="L92" i="3"/>
  <c r="V92" i="3" s="1"/>
  <c r="I92" i="3"/>
  <c r="S92" i="3" s="1"/>
  <c r="T19" i="6"/>
  <c r="M85" i="3"/>
  <c r="W85" i="3" s="1"/>
  <c r="I77" i="3"/>
  <c r="S77" i="3" s="1"/>
  <c r="I105" i="3"/>
  <c r="S105" i="3" s="1"/>
  <c r="M87" i="3"/>
  <c r="W87" i="3" s="1"/>
  <c r="M104" i="3"/>
  <c r="W104" i="3" s="1"/>
  <c r="T21" i="6"/>
  <c r="T22" i="6"/>
  <c r="T92" i="3"/>
  <c r="Y99" i="5"/>
  <c r="Y75" i="5"/>
  <c r="I62" i="5"/>
  <c r="L13" i="3"/>
  <c r="K13" i="3"/>
  <c r="K30" i="3"/>
  <c r="L30" i="3"/>
  <c r="L27" i="3"/>
  <c r="T27" i="3" s="1"/>
  <c r="K27" i="3"/>
  <c r="S27" i="3" s="1"/>
  <c r="K19" i="3"/>
  <c r="S19" i="3" s="1"/>
  <c r="L19" i="3"/>
  <c r="T19" i="3" s="1"/>
  <c r="I69" i="2"/>
  <c r="S69" i="2" s="1"/>
  <c r="K65" i="3"/>
  <c r="AA65" i="3" s="1"/>
  <c r="J65" i="3"/>
  <c r="Z65" i="3" s="1"/>
  <c r="K55" i="5"/>
  <c r="S55" i="5" s="1"/>
  <c r="K29" i="5"/>
  <c r="S29" i="5" s="1"/>
  <c r="L33" i="5"/>
  <c r="T33" i="5" s="1"/>
  <c r="K46" i="5"/>
  <c r="S46" i="5" s="1"/>
  <c r="K48" i="5"/>
  <c r="S48" i="5" s="1"/>
  <c r="J89" i="5"/>
  <c r="V89" i="5" s="1"/>
  <c r="I94" i="5"/>
  <c r="U94" i="5" s="1"/>
  <c r="J94" i="5"/>
  <c r="V94" i="5" s="1"/>
  <c r="L97" i="5"/>
  <c r="X97" i="5" s="1"/>
  <c r="J76" i="5"/>
  <c r="V76" i="5" s="1"/>
  <c r="L94" i="5"/>
  <c r="X94" i="5" s="1"/>
  <c r="L86" i="5"/>
  <c r="X86" i="5" s="1"/>
  <c r="I23" i="5"/>
  <c r="AD115" i="5"/>
  <c r="L85" i="3"/>
  <c r="V85" i="3" s="1"/>
  <c r="M77" i="3"/>
  <c r="W77" i="3" s="1"/>
  <c r="M105" i="3"/>
  <c r="W105" i="3" s="1"/>
  <c r="K87" i="3"/>
  <c r="U87" i="3" s="1"/>
  <c r="L104" i="3"/>
  <c r="V104" i="3" s="1"/>
  <c r="L14" i="3"/>
  <c r="T14" i="3" s="1"/>
  <c r="K14" i="3"/>
  <c r="S14" i="3" s="1"/>
  <c r="Q14" i="3"/>
  <c r="L55" i="2"/>
  <c r="T55" i="2" s="1"/>
  <c r="S55" i="2"/>
  <c r="K72" i="2"/>
  <c r="U72" i="2" s="1"/>
  <c r="T72" i="2"/>
  <c r="I26" i="5"/>
  <c r="R26" i="5"/>
  <c r="I49" i="5"/>
  <c r="R49" i="5"/>
  <c r="I27" i="5"/>
  <c r="R27" i="5"/>
  <c r="I120" i="5"/>
  <c r="AA120" i="5" s="1"/>
  <c r="AG120" i="5"/>
  <c r="R45" i="3"/>
  <c r="P115" i="5"/>
  <c r="AH115" i="5" s="1"/>
  <c r="AG115" i="5"/>
  <c r="R18" i="3"/>
  <c r="R26" i="3"/>
  <c r="J54" i="2"/>
  <c r="R54" i="2" s="1"/>
  <c r="S54" i="2"/>
  <c r="K11" i="4"/>
  <c r="S11" i="4" s="1"/>
  <c r="Q11" i="4"/>
  <c r="I22" i="5"/>
  <c r="R22" i="5"/>
  <c r="I59" i="5"/>
  <c r="R59" i="5"/>
  <c r="I125" i="5"/>
  <c r="AA125" i="5" s="1"/>
  <c r="AG125" i="5"/>
  <c r="Q133" i="5"/>
  <c r="AI133" i="5" s="1"/>
  <c r="AG133" i="5"/>
  <c r="R34" i="3"/>
  <c r="R22" i="3"/>
  <c r="Q116" i="5"/>
  <c r="AI116" i="5" s="1"/>
  <c r="AG116" i="5"/>
  <c r="I57" i="5"/>
  <c r="R57" i="5"/>
  <c r="K66" i="2"/>
  <c r="U66" i="2" s="1"/>
  <c r="T66" i="2"/>
  <c r="I17" i="2"/>
  <c r="Q17" i="2" s="1"/>
  <c r="R17" i="2"/>
  <c r="J34" i="1"/>
  <c r="P34" i="1" s="1"/>
  <c r="Q34" i="1"/>
  <c r="R11" i="2"/>
  <c r="I12" i="2"/>
  <c r="Q12" i="2" s="1"/>
  <c r="R12" i="2"/>
  <c r="L74" i="2"/>
  <c r="V74" i="2" s="1"/>
  <c r="T74" i="2"/>
  <c r="I62" i="2"/>
  <c r="S62" i="2" s="1"/>
  <c r="T62" i="2"/>
  <c r="P113" i="5"/>
  <c r="AH113" i="5" s="1"/>
  <c r="AG113" i="5"/>
  <c r="Q124" i="5"/>
  <c r="AI124" i="5" s="1"/>
  <c r="AG124" i="5"/>
  <c r="Q129" i="5"/>
  <c r="AI129" i="5" s="1"/>
  <c r="AG129" i="5"/>
  <c r="I44" i="5"/>
  <c r="R44" i="5"/>
  <c r="R13" i="3"/>
  <c r="Z79" i="5"/>
  <c r="Y79" i="5"/>
  <c r="R30" i="3"/>
  <c r="R35" i="3"/>
  <c r="I31" i="5"/>
  <c r="R31" i="5"/>
  <c r="R33" i="3"/>
  <c r="K37" i="5"/>
  <c r="S37" i="5" s="1"/>
  <c r="Q37" i="5"/>
  <c r="L63" i="2"/>
  <c r="V63" i="2" s="1"/>
  <c r="I16" i="5"/>
  <c r="AF128" i="5"/>
  <c r="AD128" i="5"/>
  <c r="J133" i="5"/>
  <c r="AB133" i="5" s="1"/>
  <c r="P127" i="5"/>
  <c r="AH127" i="5" s="1"/>
  <c r="Q127" i="5"/>
  <c r="AI127" i="5" s="1"/>
  <c r="AD125" i="5"/>
  <c r="I16" i="2"/>
  <c r="Q16" i="2" s="1"/>
  <c r="R16" i="2"/>
  <c r="I30" i="2"/>
  <c r="Q30" i="2" s="1"/>
  <c r="R30" i="2"/>
  <c r="L52" i="2"/>
  <c r="T52" i="2" s="1"/>
  <c r="S52" i="2"/>
  <c r="I73" i="2"/>
  <c r="S73" i="2" s="1"/>
  <c r="T73" i="2"/>
  <c r="I61" i="2"/>
  <c r="S61" i="2" s="1"/>
  <c r="T61" i="2"/>
  <c r="I42" i="5"/>
  <c r="R42" i="5"/>
  <c r="I28" i="5"/>
  <c r="R28" i="5"/>
  <c r="Z91" i="5"/>
  <c r="Y91" i="5"/>
  <c r="R21" i="3"/>
  <c r="R32" i="3"/>
  <c r="I61" i="5"/>
  <c r="R61" i="5"/>
  <c r="M68" i="2"/>
  <c r="W68" i="2" s="1"/>
  <c r="T68" i="2"/>
  <c r="K40" i="1"/>
  <c r="Q40" i="1" s="1"/>
  <c r="K58" i="1"/>
  <c r="U58" i="1" s="1"/>
  <c r="M63" i="2"/>
  <c r="W63" i="2" s="1"/>
  <c r="K128" i="5"/>
  <c r="AC128" i="5" s="1"/>
  <c r="M128" i="5"/>
  <c r="AE128" i="5" s="1"/>
  <c r="I133" i="5"/>
  <c r="AA133" i="5" s="1"/>
  <c r="K133" i="5"/>
  <c r="AC133" i="5" s="1"/>
  <c r="P128" i="5"/>
  <c r="AH128" i="5" s="1"/>
  <c r="AF127" i="5"/>
  <c r="AD127" i="5"/>
  <c r="M125" i="5"/>
  <c r="AE125" i="5" s="1"/>
  <c r="J125" i="5"/>
  <c r="AB125" i="5" s="1"/>
  <c r="L87" i="3"/>
  <c r="V87" i="3" s="1"/>
  <c r="I87" i="3"/>
  <c r="S87" i="3" s="1"/>
  <c r="L94" i="3"/>
  <c r="V94" i="3" s="1"/>
  <c r="I94" i="3"/>
  <c r="S94" i="3" s="1"/>
  <c r="M89" i="3"/>
  <c r="W89" i="3" s="1"/>
  <c r="I89" i="3"/>
  <c r="S89" i="3" s="1"/>
  <c r="L11" i="6"/>
  <c r="T11" i="6" s="1"/>
  <c r="K46" i="1"/>
  <c r="Q46" i="1" s="1"/>
  <c r="K56" i="1"/>
  <c r="U56" i="1" s="1"/>
  <c r="K67" i="1"/>
  <c r="U67" i="1" s="1"/>
  <c r="L73" i="2"/>
  <c r="V73" i="2" s="1"/>
  <c r="L11" i="4"/>
  <c r="T11" i="4" s="1"/>
  <c r="L61" i="2"/>
  <c r="V61" i="2" s="1"/>
  <c r="T12" i="6"/>
  <c r="R12" i="6"/>
  <c r="Q12" i="6"/>
  <c r="K39" i="2"/>
  <c r="S39" i="2" s="1"/>
  <c r="M61" i="2"/>
  <c r="W61" i="2" s="1"/>
  <c r="K61" i="1"/>
  <c r="U61" i="1" s="1"/>
  <c r="K118" i="5"/>
  <c r="AC118" i="5" s="1"/>
  <c r="AF118" i="5"/>
  <c r="AD118" i="5"/>
  <c r="Q118" i="5"/>
  <c r="AI118" i="5" s="1"/>
  <c r="I118" i="5"/>
  <c r="AA118" i="5" s="1"/>
  <c r="J118" i="5"/>
  <c r="AB118" i="5" s="1"/>
  <c r="P118" i="5"/>
  <c r="AH118" i="5" s="1"/>
  <c r="M118" i="5"/>
  <c r="AE118" i="5" s="1"/>
  <c r="M123" i="5"/>
  <c r="AE123" i="5" s="1"/>
  <c r="AF123" i="5"/>
  <c r="J120" i="5"/>
  <c r="AB120" i="5" s="1"/>
  <c r="M120" i="5"/>
  <c r="AE120" i="5" s="1"/>
  <c r="AD120" i="5"/>
  <c r="K120" i="5"/>
  <c r="AC120" i="5" s="1"/>
  <c r="Q120" i="5"/>
  <c r="AI120" i="5" s="1"/>
  <c r="AF120" i="5"/>
  <c r="P120" i="5"/>
  <c r="AH120" i="5" s="1"/>
  <c r="AD113" i="5"/>
  <c r="AF113" i="5"/>
  <c r="I113" i="5"/>
  <c r="AA113" i="5" s="1"/>
  <c r="AI113" i="5"/>
  <c r="M113" i="5"/>
  <c r="AE113" i="5" s="1"/>
  <c r="K113" i="5"/>
  <c r="AC113" i="5" s="1"/>
  <c r="M112" i="5"/>
  <c r="AE112" i="5" s="1"/>
  <c r="L52" i="5"/>
  <c r="T52" i="5" s="1"/>
  <c r="I20" i="5"/>
  <c r="Q20" i="5" s="1"/>
  <c r="L14" i="5"/>
  <c r="T14" i="5" s="1"/>
  <c r="L16" i="5"/>
  <c r="T16" i="5" s="1"/>
  <c r="I38" i="5"/>
  <c r="Q38" i="5" s="1"/>
  <c r="I32" i="5"/>
  <c r="Q32" i="5" s="1"/>
  <c r="L18" i="5"/>
  <c r="T18" i="5" s="1"/>
  <c r="K33" i="5"/>
  <c r="S33" i="5" s="1"/>
  <c r="L11" i="5"/>
  <c r="T11" i="5" s="1"/>
  <c r="I41" i="5"/>
  <c r="Q41" i="5" s="1"/>
  <c r="K65" i="1"/>
  <c r="U65" i="1" s="1"/>
  <c r="K64" i="1"/>
  <c r="U64" i="1" s="1"/>
  <c r="K44" i="2"/>
  <c r="S44" i="2" s="1"/>
  <c r="M74" i="2"/>
  <c r="W74" i="2" s="1"/>
  <c r="L72" i="2"/>
  <c r="V72" i="2" s="1"/>
  <c r="M73" i="2"/>
  <c r="W73" i="2" s="1"/>
  <c r="I27" i="4"/>
  <c r="Y27" i="4" s="1"/>
  <c r="M26" i="4"/>
  <c r="AC26" i="4" s="1"/>
  <c r="O26" i="4"/>
  <c r="AE26" i="4" s="1"/>
  <c r="I24" i="4"/>
  <c r="Y24" i="4" s="1"/>
  <c r="K24" i="4"/>
  <c r="AA24" i="4" s="1"/>
  <c r="M24" i="4"/>
  <c r="AC24" i="4" s="1"/>
  <c r="N24" i="4"/>
  <c r="AD24" i="4" s="1"/>
  <c r="K27" i="4"/>
  <c r="AA27" i="4" s="1"/>
  <c r="J27" i="4"/>
  <c r="Z27" i="4" s="1"/>
  <c r="P27" i="4"/>
  <c r="AF27" i="4" s="1"/>
  <c r="M27" i="4"/>
  <c r="AC27" i="4" s="1"/>
  <c r="O27" i="4"/>
  <c r="AE27" i="4" s="1"/>
  <c r="O25" i="4"/>
  <c r="AE25" i="4" s="1"/>
  <c r="I25" i="4"/>
  <c r="Y25" i="4" s="1"/>
  <c r="L13" i="4"/>
  <c r="T13" i="4" s="1"/>
  <c r="K13" i="4"/>
  <c r="S13" i="4" s="1"/>
  <c r="K12" i="4"/>
  <c r="S12" i="4" s="1"/>
  <c r="L12" i="4"/>
  <c r="T12" i="4" s="1"/>
  <c r="L11" i="3"/>
  <c r="T11" i="3" s="1"/>
  <c r="I74" i="2"/>
  <c r="S74" i="2" s="1"/>
  <c r="K74" i="2"/>
  <c r="U74" i="2" s="1"/>
  <c r="K48" i="2"/>
  <c r="K36" i="2"/>
  <c r="I36" i="2" s="1"/>
  <c r="Q36" i="2" s="1"/>
  <c r="K50" i="2"/>
  <c r="I50" i="2" s="1"/>
  <c r="Q50" i="2" s="1"/>
  <c r="K53" i="2"/>
  <c r="K47" i="2"/>
  <c r="K49" i="2"/>
  <c r="K51" i="2"/>
  <c r="K46" i="2"/>
  <c r="K42" i="2"/>
  <c r="J42" i="2" s="1"/>
  <c r="R42" i="2" s="1"/>
  <c r="L48" i="2"/>
  <c r="T48" i="2" s="1"/>
  <c r="J48" i="2"/>
  <c r="R48" i="2" s="1"/>
  <c r="K43" i="2"/>
  <c r="S43" i="2" s="1"/>
  <c r="K37" i="2"/>
  <c r="S37" i="2" s="1"/>
  <c r="K40" i="2"/>
  <c r="S40" i="2" s="1"/>
  <c r="K41" i="2"/>
  <c r="S41" i="2" s="1"/>
  <c r="K45" i="2"/>
  <c r="S45" i="2" s="1"/>
  <c r="J50" i="2"/>
  <c r="R50" i="2" s="1"/>
  <c r="J55" i="2"/>
  <c r="R55" i="2" s="1"/>
  <c r="I54" i="2"/>
  <c r="Q54" i="2" s="1"/>
  <c r="J52" i="2"/>
  <c r="R52" i="2" s="1"/>
  <c r="I55" i="2"/>
  <c r="Q55" i="2" s="1"/>
  <c r="L54" i="2"/>
  <c r="T54" i="2" s="1"/>
  <c r="I52" i="2"/>
  <c r="Q52" i="2" s="1"/>
  <c r="K38" i="2"/>
  <c r="S38" i="2" s="1"/>
  <c r="K12" i="2"/>
  <c r="S12" i="2" s="1"/>
  <c r="K16" i="2"/>
  <c r="S16" i="2" s="1"/>
  <c r="K62" i="1"/>
  <c r="J62" i="1" s="1"/>
  <c r="T62" i="1" s="1"/>
  <c r="K35" i="1"/>
  <c r="J35" i="1" s="1"/>
  <c r="P35" i="1" s="1"/>
  <c r="K32" i="1"/>
  <c r="Q32" i="1" s="1"/>
  <c r="K31" i="1"/>
  <c r="Q31" i="1" s="1"/>
  <c r="K37" i="1"/>
  <c r="I37" i="1" s="1"/>
  <c r="O37" i="1" s="1"/>
  <c r="K47" i="1"/>
  <c r="Q47" i="1" s="1"/>
  <c r="K57" i="1"/>
  <c r="L57" i="1" s="1"/>
  <c r="V57" i="1" s="1"/>
  <c r="K60" i="1"/>
  <c r="L60" i="1" s="1"/>
  <c r="V60" i="1" s="1"/>
  <c r="K63" i="1"/>
  <c r="K66" i="1"/>
  <c r="U66" i="1" s="1"/>
  <c r="I59" i="1"/>
  <c r="S59" i="1" s="1"/>
  <c r="J59" i="1"/>
  <c r="T59" i="1" s="1"/>
  <c r="L59" i="1"/>
  <c r="V59" i="1" s="1"/>
  <c r="M59" i="1"/>
  <c r="W59" i="1" s="1"/>
  <c r="M65" i="1"/>
  <c r="W65" i="1" s="1"/>
  <c r="I65" i="1"/>
  <c r="S65" i="1" s="1"/>
  <c r="J65" i="1"/>
  <c r="T65" i="1" s="1"/>
  <c r="L65" i="1"/>
  <c r="V65" i="1" s="1"/>
  <c r="L58" i="1"/>
  <c r="V58" i="1" s="1"/>
  <c r="M58" i="1"/>
  <c r="W58" i="1" s="1"/>
  <c r="I63" i="1"/>
  <c r="S63" i="1" s="1"/>
  <c r="L66" i="1"/>
  <c r="V66" i="1" s="1"/>
  <c r="M61" i="1"/>
  <c r="W61" i="1" s="1"/>
  <c r="I61" i="1"/>
  <c r="S61" i="1" s="1"/>
  <c r="J61" i="1"/>
  <c r="T61" i="1" s="1"/>
  <c r="L61" i="1"/>
  <c r="V61" i="1" s="1"/>
  <c r="M64" i="1"/>
  <c r="W64" i="1" s="1"/>
  <c r="I67" i="1"/>
  <c r="S67" i="1" s="1"/>
  <c r="K48" i="1"/>
  <c r="K39" i="1"/>
  <c r="Q39" i="1" s="1"/>
  <c r="K42" i="1"/>
  <c r="Q42" i="1" s="1"/>
  <c r="K50" i="1"/>
  <c r="Q50" i="1" s="1"/>
  <c r="L56" i="1"/>
  <c r="V56" i="1" s="1"/>
  <c r="K33" i="1"/>
  <c r="M56" i="1"/>
  <c r="W56" i="1" s="1"/>
  <c r="K45" i="1"/>
  <c r="Q45" i="1" s="1"/>
  <c r="I34" i="1"/>
  <c r="O34" i="1" s="1"/>
  <c r="J32" i="1"/>
  <c r="P32" i="1" s="1"/>
  <c r="K49" i="1"/>
  <c r="Q49" i="1" s="1"/>
  <c r="K44" i="1"/>
  <c r="K41" i="1"/>
  <c r="Q41" i="1" s="1"/>
  <c r="K36" i="1"/>
  <c r="Q36" i="1" s="1"/>
  <c r="J48" i="1"/>
  <c r="P48" i="1" s="1"/>
  <c r="J43" i="1"/>
  <c r="P43" i="1" s="1"/>
  <c r="I50" i="1"/>
  <c r="O50" i="1" s="1"/>
  <c r="I40" i="1"/>
  <c r="O40" i="1" s="1"/>
  <c r="I31" i="1"/>
  <c r="J31" i="1"/>
  <c r="P31" i="1" s="1"/>
  <c r="E22" i="1"/>
  <c r="E17" i="1"/>
  <c r="E12" i="1"/>
  <c r="H22" i="1"/>
  <c r="H23" i="1"/>
  <c r="H24" i="1"/>
  <c r="H25" i="1"/>
  <c r="I25" i="1" s="1"/>
  <c r="Q25" i="1" s="1"/>
  <c r="H21" i="1"/>
  <c r="H17" i="1"/>
  <c r="H18" i="1"/>
  <c r="H19" i="1"/>
  <c r="H20" i="1"/>
  <c r="H16" i="1"/>
  <c r="E24" i="1"/>
  <c r="E23" i="1"/>
  <c r="E21" i="1"/>
  <c r="E20" i="1"/>
  <c r="E19" i="1"/>
  <c r="E18" i="1"/>
  <c r="E16" i="1"/>
  <c r="E15" i="1"/>
  <c r="E13" i="1"/>
  <c r="H12" i="1"/>
  <c r="H13" i="1"/>
  <c r="H14" i="1"/>
  <c r="H15" i="1"/>
  <c r="H11" i="1"/>
  <c r="I11" i="1" s="1"/>
  <c r="Q11" i="2" l="1"/>
  <c r="L11" i="2"/>
  <c r="T11" i="2" s="1"/>
  <c r="L67" i="1"/>
  <c r="V67" i="1" s="1"/>
  <c r="J50" i="1"/>
  <c r="P50" i="1" s="1"/>
  <c r="J67" i="1"/>
  <c r="T67" i="1" s="1"/>
  <c r="J58" i="1"/>
  <c r="T58" i="1" s="1"/>
  <c r="J39" i="2"/>
  <c r="R39" i="2" s="1"/>
  <c r="K11" i="3"/>
  <c r="S11" i="3" s="1"/>
  <c r="I58" i="1"/>
  <c r="S58" i="1" s="1"/>
  <c r="L39" i="2"/>
  <c r="T39" i="2" s="1"/>
  <c r="K15" i="4"/>
  <c r="S15" i="4" s="1"/>
  <c r="I43" i="1"/>
  <c r="O43" i="1" s="1"/>
  <c r="I42" i="1"/>
  <c r="O42" i="1" s="1"/>
  <c r="I39" i="2"/>
  <c r="Q39" i="2" s="1"/>
  <c r="L15" i="4"/>
  <c r="T15" i="4" s="1"/>
  <c r="I38" i="1"/>
  <c r="O38" i="1" s="1"/>
  <c r="I56" i="1"/>
  <c r="S56" i="1" s="1"/>
  <c r="M60" i="1"/>
  <c r="W60" i="1" s="1"/>
  <c r="J38" i="1"/>
  <c r="P38" i="1" s="1"/>
  <c r="J56" i="1"/>
  <c r="T56" i="1" s="1"/>
  <c r="M67" i="1"/>
  <c r="W67" i="1" s="1"/>
  <c r="I44" i="2"/>
  <c r="Q44" i="2" s="1"/>
  <c r="I32" i="1"/>
  <c r="O32" i="1" s="1"/>
  <c r="L62" i="1"/>
  <c r="V62" i="1" s="1"/>
  <c r="M62" i="1"/>
  <c r="W62" i="1" s="1"/>
  <c r="L36" i="2"/>
  <c r="T36" i="2" s="1"/>
  <c r="L44" i="2"/>
  <c r="T44" i="2" s="1"/>
  <c r="J44" i="2"/>
  <c r="R44" i="2" s="1"/>
  <c r="Q52" i="5"/>
  <c r="K52" i="5"/>
  <c r="S52" i="5" s="1"/>
  <c r="Q64" i="5"/>
  <c r="K64" i="5"/>
  <c r="S64" i="5" s="1"/>
  <c r="L64" i="5"/>
  <c r="T64" i="5" s="1"/>
  <c r="Q21" i="5"/>
  <c r="L21" i="5"/>
  <c r="T21" i="5" s="1"/>
  <c r="K21" i="5"/>
  <c r="S21" i="5" s="1"/>
  <c r="Q43" i="5"/>
  <c r="K43" i="5"/>
  <c r="S43" i="5" s="1"/>
  <c r="L43" i="5"/>
  <c r="T43" i="5" s="1"/>
  <c r="Q40" i="5"/>
  <c r="L40" i="5"/>
  <c r="T40" i="5" s="1"/>
  <c r="K40" i="5"/>
  <c r="S40" i="5" s="1"/>
  <c r="Q45" i="5"/>
  <c r="L45" i="5"/>
  <c r="T45" i="5" s="1"/>
  <c r="Q35" i="5"/>
  <c r="L35" i="5"/>
  <c r="T35" i="5" s="1"/>
  <c r="K35" i="5"/>
  <c r="S35" i="5" s="1"/>
  <c r="Q47" i="5"/>
  <c r="L47" i="5"/>
  <c r="T47" i="5" s="1"/>
  <c r="K47" i="5"/>
  <c r="S47" i="5" s="1"/>
  <c r="Q12" i="5"/>
  <c r="K12" i="5"/>
  <c r="S12" i="5" s="1"/>
  <c r="Q36" i="5"/>
  <c r="K36" i="5"/>
  <c r="S36" i="5" s="1"/>
  <c r="L36" i="5"/>
  <c r="T36" i="5" s="1"/>
  <c r="Q39" i="5"/>
  <c r="L39" i="5"/>
  <c r="T39" i="5" s="1"/>
  <c r="K39" i="5"/>
  <c r="S39" i="5" s="1"/>
  <c r="I39" i="1"/>
  <c r="O39" i="1" s="1"/>
  <c r="Q23" i="5"/>
  <c r="L23" i="5"/>
  <c r="T23" i="5" s="1"/>
  <c r="K23" i="5"/>
  <c r="S23" i="5" s="1"/>
  <c r="Q62" i="5"/>
  <c r="L62" i="5"/>
  <c r="T62" i="5" s="1"/>
  <c r="K62" i="5"/>
  <c r="S62" i="5" s="1"/>
  <c r="Q53" i="5"/>
  <c r="K53" i="5"/>
  <c r="S53" i="5" s="1"/>
  <c r="L53" i="5"/>
  <c r="T53" i="5" s="1"/>
  <c r="Q16" i="4"/>
  <c r="L16" i="4"/>
  <c r="T16" i="4" s="1"/>
  <c r="K16" i="4"/>
  <c r="S16" i="4" s="1"/>
  <c r="Q30" i="5"/>
  <c r="K30" i="5"/>
  <c r="S30" i="5" s="1"/>
  <c r="L30" i="5"/>
  <c r="T30" i="5" s="1"/>
  <c r="I46" i="1"/>
  <c r="O46" i="1" s="1"/>
  <c r="I47" i="1"/>
  <c r="O47" i="1" s="1"/>
  <c r="L64" i="1"/>
  <c r="V64" i="1" s="1"/>
  <c r="I64" i="1"/>
  <c r="S64" i="1" s="1"/>
  <c r="L17" i="4"/>
  <c r="T17" i="4" s="1"/>
  <c r="Q18" i="5"/>
  <c r="K18" i="5"/>
  <c r="S18" i="5" s="1"/>
  <c r="J40" i="1"/>
  <c r="P40" i="1" s="1"/>
  <c r="J46" i="1"/>
  <c r="P46" i="1" s="1"/>
  <c r="J47" i="1"/>
  <c r="P47" i="1" s="1"/>
  <c r="J64" i="1"/>
  <c r="T64" i="1" s="1"/>
  <c r="K17" i="4"/>
  <c r="S17" i="4" s="1"/>
  <c r="J63" i="1"/>
  <c r="T63" i="1" s="1"/>
  <c r="U63" i="1"/>
  <c r="J37" i="1"/>
  <c r="P37" i="1" s="1"/>
  <c r="Q37" i="1"/>
  <c r="I62" i="1"/>
  <c r="S62" i="1" s="1"/>
  <c r="U62" i="1"/>
  <c r="I22" i="2"/>
  <c r="L22" i="2" s="1"/>
  <c r="T22" i="2" s="1"/>
  <c r="R22" i="2"/>
  <c r="J46" i="2"/>
  <c r="R46" i="2" s="1"/>
  <c r="S46" i="2"/>
  <c r="I21" i="2"/>
  <c r="Q21" i="2" s="1"/>
  <c r="R21" i="2"/>
  <c r="I13" i="2"/>
  <c r="Q13" i="2" s="1"/>
  <c r="R13" i="2"/>
  <c r="I27" i="2"/>
  <c r="L27" i="2" s="1"/>
  <c r="T27" i="2" s="1"/>
  <c r="R27" i="2"/>
  <c r="I48" i="2"/>
  <c r="Q48" i="2" s="1"/>
  <c r="S48" i="2"/>
  <c r="Q33" i="3"/>
  <c r="S33" i="3"/>
  <c r="T33" i="3"/>
  <c r="Q35" i="3"/>
  <c r="S35" i="3"/>
  <c r="T35" i="3"/>
  <c r="Q44" i="5"/>
  <c r="L44" i="5"/>
  <c r="T44" i="5" s="1"/>
  <c r="K44" i="5"/>
  <c r="S44" i="5" s="1"/>
  <c r="Q34" i="3"/>
  <c r="S34" i="3"/>
  <c r="T34" i="3"/>
  <c r="Q22" i="5"/>
  <c r="L22" i="5"/>
  <c r="T22" i="5" s="1"/>
  <c r="K22" i="5"/>
  <c r="S22" i="5" s="1"/>
  <c r="Q18" i="3"/>
  <c r="S18" i="3"/>
  <c r="T18" i="3"/>
  <c r="Q45" i="3"/>
  <c r="T45" i="3"/>
  <c r="S45" i="3"/>
  <c r="Q27" i="5"/>
  <c r="L27" i="5"/>
  <c r="T27" i="5" s="1"/>
  <c r="K27" i="5"/>
  <c r="S27" i="5" s="1"/>
  <c r="Q26" i="5"/>
  <c r="K26" i="5"/>
  <c r="S26" i="5" s="1"/>
  <c r="L26" i="5"/>
  <c r="T26" i="5" s="1"/>
  <c r="J57" i="1"/>
  <c r="T57" i="1" s="1"/>
  <c r="I33" i="1"/>
  <c r="O33" i="1" s="1"/>
  <c r="Q33" i="1"/>
  <c r="I48" i="1"/>
  <c r="O48" i="1" s="1"/>
  <c r="Q48" i="1"/>
  <c r="I35" i="1"/>
  <c r="O35" i="1" s="1"/>
  <c r="Q35" i="1"/>
  <c r="I24" i="2"/>
  <c r="Q24" i="2" s="1"/>
  <c r="R24" i="2"/>
  <c r="I42" i="2"/>
  <c r="Q42" i="2" s="1"/>
  <c r="S42" i="2"/>
  <c r="L47" i="2"/>
  <c r="T47" i="2" s="1"/>
  <c r="S47" i="2"/>
  <c r="I14" i="2"/>
  <c r="Q14" i="2" s="1"/>
  <c r="R14" i="2"/>
  <c r="I23" i="2"/>
  <c r="Q23" i="2" s="1"/>
  <c r="R23" i="2"/>
  <c r="J36" i="2"/>
  <c r="R36" i="2" s="1"/>
  <c r="S36" i="2"/>
  <c r="Q61" i="5"/>
  <c r="L61" i="5"/>
  <c r="T61" i="5" s="1"/>
  <c r="K61" i="5"/>
  <c r="S61" i="5" s="1"/>
  <c r="Q21" i="3"/>
  <c r="S21" i="3"/>
  <c r="T21" i="3"/>
  <c r="Q28" i="5"/>
  <c r="K28" i="5"/>
  <c r="S28" i="5" s="1"/>
  <c r="L28" i="5"/>
  <c r="T28" i="5" s="1"/>
  <c r="Q16" i="5"/>
  <c r="K16" i="5"/>
  <c r="S16" i="5" s="1"/>
  <c r="Q11" i="1"/>
  <c r="O31" i="1"/>
  <c r="I57" i="1"/>
  <c r="S57" i="1" s="1"/>
  <c r="U57" i="1"/>
  <c r="I25" i="2"/>
  <c r="L25" i="2" s="1"/>
  <c r="T25" i="2" s="1"/>
  <c r="R25" i="2"/>
  <c r="I29" i="2"/>
  <c r="R29" i="2"/>
  <c r="I49" i="2"/>
  <c r="Q49" i="2" s="1"/>
  <c r="S49" i="2"/>
  <c r="I15" i="2"/>
  <c r="R15" i="2"/>
  <c r="L50" i="2"/>
  <c r="T50" i="2" s="1"/>
  <c r="S50" i="2"/>
  <c r="I26" i="2"/>
  <c r="R26" i="2"/>
  <c r="Q31" i="5"/>
  <c r="L31" i="5"/>
  <c r="T31" i="5" s="1"/>
  <c r="K31" i="5"/>
  <c r="S31" i="5" s="1"/>
  <c r="Q30" i="3"/>
  <c r="T30" i="3"/>
  <c r="S30" i="3"/>
  <c r="Q13" i="3"/>
  <c r="S13" i="3"/>
  <c r="T13" i="3"/>
  <c r="Q57" i="5"/>
  <c r="K57" i="5"/>
  <c r="S57" i="5" s="1"/>
  <c r="L57" i="5"/>
  <c r="T57" i="5" s="1"/>
  <c r="Q22" i="3"/>
  <c r="T22" i="3"/>
  <c r="S22" i="3"/>
  <c r="Q59" i="5"/>
  <c r="K59" i="5"/>
  <c r="S59" i="5" s="1"/>
  <c r="L59" i="5"/>
  <c r="T59" i="5" s="1"/>
  <c r="Q26" i="3"/>
  <c r="S26" i="3"/>
  <c r="T26" i="3"/>
  <c r="Q49" i="5"/>
  <c r="K49" i="5"/>
  <c r="S49" i="5" s="1"/>
  <c r="L49" i="5"/>
  <c r="T49" i="5" s="1"/>
  <c r="I44" i="1"/>
  <c r="O44" i="1" s="1"/>
  <c r="Q44" i="1"/>
  <c r="J60" i="1"/>
  <c r="T60" i="1" s="1"/>
  <c r="U60" i="1"/>
  <c r="I20" i="2"/>
  <c r="L20" i="2" s="1"/>
  <c r="T20" i="2" s="1"/>
  <c r="R20" i="2"/>
  <c r="I19" i="2"/>
  <c r="Q19" i="2" s="1"/>
  <c r="R19" i="2"/>
  <c r="I51" i="2"/>
  <c r="Q51" i="2" s="1"/>
  <c r="S51" i="2"/>
  <c r="I18" i="2"/>
  <c r="Q18" i="2" s="1"/>
  <c r="R18" i="2"/>
  <c r="I53" i="2"/>
  <c r="Q53" i="2" s="1"/>
  <c r="S53" i="2"/>
  <c r="I28" i="2"/>
  <c r="L28" i="2" s="1"/>
  <c r="T28" i="2" s="1"/>
  <c r="R28" i="2"/>
  <c r="Q32" i="3"/>
  <c r="S32" i="3"/>
  <c r="T32" i="3"/>
  <c r="Q42" i="5"/>
  <c r="L42" i="5"/>
  <c r="T42" i="5" s="1"/>
  <c r="K42" i="5"/>
  <c r="S42" i="5" s="1"/>
  <c r="J66" i="1"/>
  <c r="T66" i="1" s="1"/>
  <c r="I60" i="1"/>
  <c r="S60" i="1" s="1"/>
  <c r="L20" i="5"/>
  <c r="T20" i="5" s="1"/>
  <c r="K20" i="5"/>
  <c r="S20" i="5" s="1"/>
  <c r="K38" i="5"/>
  <c r="S38" i="5" s="1"/>
  <c r="L38" i="5"/>
  <c r="T38" i="5" s="1"/>
  <c r="K41" i="5"/>
  <c r="S41" i="5" s="1"/>
  <c r="L41" i="5"/>
  <c r="T41" i="5" s="1"/>
  <c r="K32" i="5"/>
  <c r="S32" i="5" s="1"/>
  <c r="L32" i="5"/>
  <c r="T32" i="5" s="1"/>
  <c r="M63" i="1"/>
  <c r="W63" i="1" s="1"/>
  <c r="J42" i="1"/>
  <c r="P42" i="1" s="1"/>
  <c r="L63" i="1"/>
  <c r="V63" i="1" s="1"/>
  <c r="M57" i="1"/>
  <c r="W57" i="1" s="1"/>
  <c r="I12" i="1"/>
  <c r="Q12" i="1" s="1"/>
  <c r="J39" i="1"/>
  <c r="P39" i="1" s="1"/>
  <c r="I41" i="1"/>
  <c r="O41" i="1" s="1"/>
  <c r="I66" i="1"/>
  <c r="S66" i="1" s="1"/>
  <c r="J49" i="2"/>
  <c r="R49" i="2" s="1"/>
  <c r="L49" i="2"/>
  <c r="T49" i="2" s="1"/>
  <c r="L46" i="2"/>
  <c r="T46" i="2" s="1"/>
  <c r="I46" i="2"/>
  <c r="Q46" i="2" s="1"/>
  <c r="J51" i="2"/>
  <c r="R51" i="2" s="1"/>
  <c r="J53" i="2"/>
  <c r="R53" i="2" s="1"/>
  <c r="L53" i="2"/>
  <c r="T53" i="2" s="1"/>
  <c r="L51" i="2"/>
  <c r="T51" i="2" s="1"/>
  <c r="I47" i="2"/>
  <c r="Q47" i="2" s="1"/>
  <c r="L42" i="2"/>
  <c r="T42" i="2" s="1"/>
  <c r="J47" i="2"/>
  <c r="R47" i="2" s="1"/>
  <c r="L41" i="2"/>
  <c r="T41" i="2" s="1"/>
  <c r="J41" i="2"/>
  <c r="R41" i="2" s="1"/>
  <c r="I41" i="2"/>
  <c r="Q41" i="2" s="1"/>
  <c r="L45" i="2"/>
  <c r="T45" i="2" s="1"/>
  <c r="J45" i="2"/>
  <c r="R45" i="2" s="1"/>
  <c r="I45" i="2"/>
  <c r="Q45" i="2" s="1"/>
  <c r="I38" i="2"/>
  <c r="Q38" i="2" s="1"/>
  <c r="L38" i="2"/>
  <c r="T38" i="2" s="1"/>
  <c r="J38" i="2"/>
  <c r="R38" i="2" s="1"/>
  <c r="L40" i="2"/>
  <c r="T40" i="2" s="1"/>
  <c r="J40" i="2"/>
  <c r="R40" i="2" s="1"/>
  <c r="I40" i="2"/>
  <c r="Q40" i="2" s="1"/>
  <c r="I43" i="2"/>
  <c r="Q43" i="2" s="1"/>
  <c r="L43" i="2"/>
  <c r="T43" i="2" s="1"/>
  <c r="J43" i="2"/>
  <c r="R43" i="2" s="1"/>
  <c r="L37" i="2"/>
  <c r="T37" i="2" s="1"/>
  <c r="J37" i="2"/>
  <c r="R37" i="2" s="1"/>
  <c r="I37" i="2"/>
  <c r="Q37" i="2" s="1"/>
  <c r="L15" i="2"/>
  <c r="T15" i="2" s="1"/>
  <c r="K30" i="2"/>
  <c r="S30" i="2" s="1"/>
  <c r="L30" i="2"/>
  <c r="T30" i="2" s="1"/>
  <c r="K24" i="2"/>
  <c r="S24" i="2" s="1"/>
  <c r="L24" i="2"/>
  <c r="T24" i="2" s="1"/>
  <c r="L12" i="2"/>
  <c r="T12" i="2" s="1"/>
  <c r="K23" i="2"/>
  <c r="S23" i="2" s="1"/>
  <c r="L16" i="2"/>
  <c r="T16" i="2" s="1"/>
  <c r="K17" i="2"/>
  <c r="S17" i="2" s="1"/>
  <c r="K11" i="2"/>
  <c r="S11" i="2" s="1"/>
  <c r="L17" i="2"/>
  <c r="T17" i="2" s="1"/>
  <c r="J45" i="1"/>
  <c r="P45" i="1" s="1"/>
  <c r="J36" i="1"/>
  <c r="P36" i="1" s="1"/>
  <c r="J41" i="1"/>
  <c r="P41" i="1" s="1"/>
  <c r="J33" i="1"/>
  <c r="P33" i="1" s="1"/>
  <c r="I45" i="1"/>
  <c r="O45" i="1" s="1"/>
  <c r="M66" i="1"/>
  <c r="W66" i="1" s="1"/>
  <c r="I15" i="1"/>
  <c r="I22" i="1"/>
  <c r="K22" i="1" s="1"/>
  <c r="S22" i="1" s="1"/>
  <c r="I18" i="1"/>
  <c r="Q18" i="1" s="1"/>
  <c r="J49" i="1"/>
  <c r="P49" i="1" s="1"/>
  <c r="I49" i="1"/>
  <c r="O49" i="1" s="1"/>
  <c r="J44" i="1"/>
  <c r="P44" i="1" s="1"/>
  <c r="I36" i="1"/>
  <c r="O36" i="1" s="1"/>
  <c r="I19" i="1"/>
  <c r="I14" i="1"/>
  <c r="K14" i="1" s="1"/>
  <c r="S14" i="1" s="1"/>
  <c r="I13" i="1"/>
  <c r="J13" i="1" s="1"/>
  <c r="R13" i="1" s="1"/>
  <c r="I23" i="1"/>
  <c r="Q23" i="1" s="1"/>
  <c r="I20" i="1"/>
  <c r="I24" i="1"/>
  <c r="I21" i="1"/>
  <c r="Q21" i="1" s="1"/>
  <c r="I17" i="1"/>
  <c r="I16" i="1"/>
  <c r="Q16" i="1" s="1"/>
  <c r="L25" i="1"/>
  <c r="T25" i="1" s="1"/>
  <c r="K25" i="1"/>
  <c r="S25" i="1" s="1"/>
  <c r="J25" i="1"/>
  <c r="R25" i="1" s="1"/>
  <c r="K23" i="1"/>
  <c r="S23" i="1" s="1"/>
  <c r="J14" i="1"/>
  <c r="R14" i="1" s="1"/>
  <c r="J12" i="1"/>
  <c r="R12" i="1" s="1"/>
  <c r="K11" i="1"/>
  <c r="S11" i="1" s="1"/>
  <c r="L11" i="1"/>
  <c r="T11" i="1" s="1"/>
  <c r="J11" i="1"/>
  <c r="R11" i="1" s="1"/>
  <c r="L13" i="1"/>
  <c r="T13" i="1" s="1"/>
  <c r="K12" i="1" l="1"/>
  <c r="S12" i="1" s="1"/>
  <c r="L12" i="1"/>
  <c r="T12" i="1" s="1"/>
  <c r="L23" i="2"/>
  <c r="T23" i="2" s="1"/>
  <c r="L19" i="2"/>
  <c r="T19" i="2" s="1"/>
  <c r="K19" i="2"/>
  <c r="S19" i="2" s="1"/>
  <c r="K18" i="2"/>
  <c r="S18" i="2" s="1"/>
  <c r="L18" i="2"/>
  <c r="T18" i="2" s="1"/>
  <c r="K13" i="2"/>
  <c r="S13" i="2" s="1"/>
  <c r="L13" i="2"/>
  <c r="T13" i="2" s="1"/>
  <c r="J23" i="1"/>
  <c r="R23" i="1" s="1"/>
  <c r="L14" i="2"/>
  <c r="T14" i="2" s="1"/>
  <c r="L22" i="1"/>
  <c r="T22" i="1" s="1"/>
  <c r="L21" i="2"/>
  <c r="T21" i="2" s="1"/>
  <c r="L23" i="1"/>
  <c r="T23" i="1" s="1"/>
  <c r="K21" i="2"/>
  <c r="S21" i="2" s="1"/>
  <c r="K14" i="2"/>
  <c r="S14" i="2" s="1"/>
  <c r="L20" i="1"/>
  <c r="T20" i="1" s="1"/>
  <c r="Q20" i="1"/>
  <c r="L19" i="1"/>
  <c r="T19" i="1" s="1"/>
  <c r="Q19" i="1"/>
  <c r="K28" i="2"/>
  <c r="S28" i="2" s="1"/>
  <c r="Q28" i="2"/>
  <c r="Q26" i="2"/>
  <c r="K26" i="2"/>
  <c r="S26" i="2" s="1"/>
  <c r="L26" i="2"/>
  <c r="T26" i="2" s="1"/>
  <c r="Q15" i="2"/>
  <c r="K15" i="2"/>
  <c r="S15" i="2" s="1"/>
  <c r="Q29" i="2"/>
  <c r="L29" i="2"/>
  <c r="T29" i="2" s="1"/>
  <c r="K29" i="2"/>
  <c r="S29" i="2" s="1"/>
  <c r="J24" i="1"/>
  <c r="R24" i="1" s="1"/>
  <c r="Q24" i="1"/>
  <c r="K13" i="1"/>
  <c r="S13" i="1" s="1"/>
  <c r="Q13" i="1"/>
  <c r="J22" i="1"/>
  <c r="R22" i="1" s="1"/>
  <c r="Q22" i="1"/>
  <c r="Q27" i="2"/>
  <c r="K27" i="2"/>
  <c r="S27" i="2" s="1"/>
  <c r="Q22" i="2"/>
  <c r="K22" i="2"/>
  <c r="S22" i="2" s="1"/>
  <c r="L14" i="1"/>
  <c r="T14" i="1" s="1"/>
  <c r="Q14" i="1"/>
  <c r="J15" i="1"/>
  <c r="R15" i="1" s="1"/>
  <c r="Q15" i="1"/>
  <c r="J17" i="1"/>
  <c r="R17" i="1" s="1"/>
  <c r="Q17" i="1"/>
  <c r="K20" i="2"/>
  <c r="S20" i="2" s="1"/>
  <c r="Q20" i="2"/>
  <c r="Q25" i="2"/>
  <c r="K25" i="2"/>
  <c r="S25" i="2" s="1"/>
  <c r="L15" i="1"/>
  <c r="T15" i="1" s="1"/>
  <c r="K15" i="1"/>
  <c r="S15" i="1" s="1"/>
  <c r="L18" i="1"/>
  <c r="T18" i="1" s="1"/>
  <c r="L21" i="1"/>
  <c r="T21" i="1" s="1"/>
  <c r="K19" i="1"/>
  <c r="S19" i="1" s="1"/>
  <c r="K18" i="1"/>
  <c r="S18" i="1" s="1"/>
  <c r="J18" i="1"/>
  <c r="R18" i="1" s="1"/>
  <c r="L16" i="1"/>
  <c r="T16" i="1" s="1"/>
  <c r="K20" i="1"/>
  <c r="S20" i="1" s="1"/>
  <c r="J20" i="1"/>
  <c r="R20" i="1" s="1"/>
  <c r="J19" i="1"/>
  <c r="R19" i="1" s="1"/>
  <c r="J16" i="1"/>
  <c r="R16" i="1" s="1"/>
  <c r="K24" i="1"/>
  <c r="S24" i="1" s="1"/>
  <c r="L24" i="1"/>
  <c r="T24" i="1" s="1"/>
  <c r="K21" i="1"/>
  <c r="S21" i="1" s="1"/>
  <c r="J21" i="1"/>
  <c r="R21" i="1" s="1"/>
  <c r="K17" i="1"/>
  <c r="S17" i="1" s="1"/>
  <c r="L17" i="1"/>
  <c r="T17" i="1" s="1"/>
  <c r="K16" i="1"/>
  <c r="S16" i="1" s="1"/>
</calcChain>
</file>

<file path=xl/comments1.xml><?xml version="1.0" encoding="utf-8"?>
<comments xmlns="http://schemas.openxmlformats.org/spreadsheetml/2006/main">
  <authors>
    <author>Miroslav Hošek</author>
  </authors>
  <commentList>
    <comment ref="I8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M8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Q8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10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J10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K10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L10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M10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N10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O10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P10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Q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R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S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T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I28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L28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O28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3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3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3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3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3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3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30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J30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K30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L30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M30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N30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O3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P3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Q3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I53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N53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S53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55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55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55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55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55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55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55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J55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K55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L55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M55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N55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O55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P55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Q55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R55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S5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T5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U5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V5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W5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</commentList>
</comments>
</file>

<file path=xl/comments10.xml><?xml version="1.0" encoding="utf-8"?>
<comments xmlns="http://schemas.openxmlformats.org/spreadsheetml/2006/main">
  <authors>
    <author>Miroslav Hošek</author>
    <author>Míra</author>
  </authors>
  <commentList>
    <comment ref="I8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M8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Q8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F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N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O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P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Q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R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S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T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I49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M49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Q49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51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51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51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F51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51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51" authorId="0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I51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51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51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51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51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N51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O51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P51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Q51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R51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S51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T51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A90" authorId="0">
      <text>
        <r>
          <rPr>
            <sz val="9"/>
            <color indexed="81"/>
            <rFont val="Tahoma"/>
            <charset val="1"/>
          </rPr>
          <t>Odchylky mezi odečtenými a správnými výsledky v procentech</t>
        </r>
      </text>
    </comment>
    <comment ref="C92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92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92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F92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92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92" authorId="0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I92" authorId="0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92" authorId="0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92" authorId="0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92" authorId="0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92" authorId="0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N92" authorId="0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O92" authorId="0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P92" authorId="0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Q92" authorId="0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R92" authorId="0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S92" authorId="0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T92" authorId="0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U92" authorId="0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V92" authorId="0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W92" authorId="0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X92" authorId="0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Y92" authorId="0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Z92" authorId="0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AA92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B92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C92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D92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E92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F92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G92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H92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I92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</commentList>
</comments>
</file>

<file path=xl/comments11.xml><?xml version="1.0" encoding="utf-8"?>
<comments xmlns="http://schemas.openxmlformats.org/spreadsheetml/2006/main">
  <authors>
    <author>Miroslav Hošek</author>
    <author>Míra</author>
  </authors>
  <commentList>
    <comment ref="I8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M8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Q8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N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O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P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Q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R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S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T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I37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L37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O37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39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39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39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F39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39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39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39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J39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K39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L39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M39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N39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O39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P39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Q39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I70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Q70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Y70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72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72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72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72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72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72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72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72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72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72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72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N72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O72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P72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Q72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R72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S72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T72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U72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V72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W72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X72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Y72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Z72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A72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B72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C72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D72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E72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F72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</commentList>
</comments>
</file>

<file path=xl/comments12.xml><?xml version="1.0" encoding="utf-8"?>
<comments xmlns="http://schemas.openxmlformats.org/spreadsheetml/2006/main">
  <authors>
    <author>Miroslav Hošek</author>
    <author>Míra</author>
  </authors>
  <commentList>
    <comment ref="I8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M8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Q8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10" authorId="0">
      <text>
        <r>
          <rPr>
            <sz val="9"/>
            <color indexed="81"/>
            <rFont val="Tahoma"/>
            <charset val="1"/>
          </rPr>
          <t>převedené hodnoty</t>
        </r>
      </text>
    </comment>
    <comment ref="I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N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O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P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Q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R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S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T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I29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K29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M29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31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31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31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31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31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31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31" authorId="1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J31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31" authorId="1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L31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M31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N31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I66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Q66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Y66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68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68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68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68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68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68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68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68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68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68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68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N68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O68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P68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Q68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R68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S68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T68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U68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V68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W68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X68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Y68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Z68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A68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B68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C68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D68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E68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F68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</commentList>
</comments>
</file>

<file path=xl/comments13.xml><?xml version="1.0" encoding="utf-8"?>
<comments xmlns="http://schemas.openxmlformats.org/spreadsheetml/2006/main">
  <authors>
    <author>Miroslav Hošek</author>
    <author>Míra</author>
  </authors>
  <commentList>
    <comment ref="I8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K8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M8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N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I28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L28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O28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3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3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3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3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3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3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30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J30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K30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L30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M30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N30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O3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P3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Q3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I43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N43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S43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45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45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45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45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45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45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4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4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4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4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4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N4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O4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P4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Q4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R4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S4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T4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U4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V4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W4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</commentList>
</comments>
</file>

<file path=xl/comments14.xml><?xml version="1.0" encoding="utf-8"?>
<comments xmlns="http://schemas.openxmlformats.org/spreadsheetml/2006/main">
  <authors>
    <author>Miroslav Hošek</author>
    <author>Míra</author>
  </authors>
  <commentList>
    <comment ref="I8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K8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M8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N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I19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N19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S19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21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21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21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21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21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21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21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21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21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21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21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N21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O21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P21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Q21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R21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S21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T21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U21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V21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W21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</commentList>
</comments>
</file>

<file path=xl/comments15.xml><?xml version="1.0" encoding="utf-8"?>
<comments xmlns="http://schemas.openxmlformats.org/spreadsheetml/2006/main">
  <authors>
    <author>Miroslav Hošek</author>
    <author>Míra</author>
  </authors>
  <commentList>
    <comment ref="I8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R8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AA8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I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N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O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P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Q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R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S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T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U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V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W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X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Y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Z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AA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B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C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D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E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F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G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H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I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C33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33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33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33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33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33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33" authorId="0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33" authorId="0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33" authorId="0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33" authorId="0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33" authorId="0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N33" authorId="0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O33" authorId="0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P33" authorId="0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Q33" authorId="0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R33" authorId="0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S33" authorId="0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T33" authorId="0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U33" authorId="0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V33" authorId="0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W33" authorId="0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X33" authorId="0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Y33" authorId="0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Z33" authorId="0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AA33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B33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C33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D33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E33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F33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G33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H33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I33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I54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K54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M54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56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56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56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F56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56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56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56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56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56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56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56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N56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</commentList>
</comments>
</file>

<file path=xl/comments16.xml><?xml version="1.0" encoding="utf-8"?>
<comments xmlns="http://schemas.openxmlformats.org/spreadsheetml/2006/main">
  <authors>
    <author>Miroslav Hošek</author>
    <author>Míra</author>
  </authors>
  <commentList>
    <comment ref="I8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N8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S8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10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J10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K10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L10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M10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N10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O10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P10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Q10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R10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S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T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U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V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W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I33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M33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Q33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35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35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35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35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35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35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3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3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3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3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3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N3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O3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P3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Q3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R3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S3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T3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I63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N63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S63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65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65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65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65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65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65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6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6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6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6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6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N6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O6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P6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Q6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R6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S6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T6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U6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V6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W6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</commentList>
</comments>
</file>

<file path=xl/comments17.xml><?xml version="1.0" encoding="utf-8"?>
<comments xmlns="http://schemas.openxmlformats.org/spreadsheetml/2006/main">
  <authors>
    <author>Miroslav Hošek</author>
    <author>Míra</author>
  </authors>
  <commentList>
    <comment ref="I8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N8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S8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I10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J10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K10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L10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M10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N10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O10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P10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Q10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R10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S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T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U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V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W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I21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M21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Q21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23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23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23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23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23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23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23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23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23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23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23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N23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O23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P23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Q23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R23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S23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T23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I36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K36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M36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38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38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38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F38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38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38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38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38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38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38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38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N38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</commentList>
</comments>
</file>

<file path=xl/comments18.xml><?xml version="1.0" encoding="utf-8"?>
<comments xmlns="http://schemas.openxmlformats.org/spreadsheetml/2006/main">
  <authors>
    <author>Miroslav Hošek</author>
    <author>Míra</author>
  </authors>
  <commentList>
    <comment ref="I8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N8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S8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10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J10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K10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L10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M10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N10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O10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P10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Q10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R10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S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T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U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V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W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I17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K17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M17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19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19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19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19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19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19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19" authorId="1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J19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19" authorId="1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L19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M19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N19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I32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K32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M32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34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34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34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34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34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34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34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J34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K34" authorId="1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L34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M34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N34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</commentList>
</comments>
</file>

<file path=xl/comments2.xml><?xml version="1.0" encoding="utf-8"?>
<comments xmlns="http://schemas.openxmlformats.org/spreadsheetml/2006/main">
  <authors>
    <author>Miroslav Hošek</author>
    <author>Míra</author>
  </authors>
  <commentList>
    <comment ref="I8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M8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Q8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N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O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P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Q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R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S10" authorId="0">
      <text>
        <r>
          <rPr>
            <sz val="9"/>
            <color indexed="81"/>
            <rFont val="Tahoma"/>
            <charset val="1"/>
          </rPr>
          <t>Odchylka mezi odečtenými a správnými výsledky v procentech</t>
        </r>
      </text>
    </comment>
    <comment ref="T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I33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M33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Q33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35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35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35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35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35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35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3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3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3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3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3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N3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O3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P3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Q3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R3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S3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T3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I58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N58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S58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6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6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6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6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6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6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6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6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6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6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6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N6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O6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P6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Q6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R6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S6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T6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U6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V6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W6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</commentList>
</comments>
</file>

<file path=xl/comments3.xml><?xml version="1.0" encoding="utf-8"?>
<comments xmlns="http://schemas.openxmlformats.org/spreadsheetml/2006/main">
  <authors>
    <author>Miroslav Hošek</author>
    <author>Míra</author>
  </authors>
  <commentList>
    <comment ref="I8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M8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Q8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N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O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P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Q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R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S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T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I48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Q48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Y48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5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5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5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5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5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5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5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5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5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5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5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N5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O5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P5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Q5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R5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S5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T5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U5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V5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W5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X5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Y5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Z5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A5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B5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C5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D5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E5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F5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I73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N73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S73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75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75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75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75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75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75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7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7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7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7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7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N7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O7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P7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Q7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R7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S7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T7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U7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V7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W7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</commentList>
</comments>
</file>

<file path=xl/comments4.xml><?xml version="1.0" encoding="utf-8"?>
<comments xmlns="http://schemas.openxmlformats.org/spreadsheetml/2006/main">
  <authors>
    <author>Miroslav Hošek</author>
    <author>Míra</author>
  </authors>
  <commentList>
    <comment ref="I8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M8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Q8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N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O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P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Q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R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S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T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I21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Q21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Y21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23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23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23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23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23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23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23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23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23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23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23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N23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O23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P23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Q23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R23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S23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T23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U23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V23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W23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X23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Y23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Z23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A23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B23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C23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D23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E23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F23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I30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L30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O30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32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32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32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32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32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32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J32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32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P32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</commentList>
</comments>
</file>

<file path=xl/comments5.xml><?xml version="1.0" encoding="utf-8"?>
<comments xmlns="http://schemas.openxmlformats.org/spreadsheetml/2006/main">
  <authors>
    <author>Miroslav Hošek</author>
    <author>Míra</author>
  </authors>
  <commentList>
    <comment ref="I8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M8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Q8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N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O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P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Q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R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S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T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I67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O67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U67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69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69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69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69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69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69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69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69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69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69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69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N69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O69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P69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Q69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R69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S69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T69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U69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V69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W69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X69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Y69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Z69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I108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R108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AA108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1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1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1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1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1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1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1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1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1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1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1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N1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O1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P1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Q1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R1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S1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T1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U1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V1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W1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X1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Y1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Z1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AA1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B1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C1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D1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E1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F1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G1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H1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AI1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</commentList>
</comments>
</file>

<file path=xl/comments6.xml><?xml version="1.0" encoding="utf-8"?>
<comments xmlns="http://schemas.openxmlformats.org/spreadsheetml/2006/main">
  <authors>
    <author>Miroslav Hošek</author>
    <author>Míra</author>
  </authors>
  <commentList>
    <comment ref="I8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M8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Q8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N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O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P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Q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R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S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T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I43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O43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U43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45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45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45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45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45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45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4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4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4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4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4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N4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O4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P4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Q4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R4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S4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T4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U4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V4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W4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X4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Y4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Z4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I68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N68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S68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7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7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7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7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7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7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7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7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7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7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7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N7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O7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P7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Q7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R7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S7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T7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U7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V7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W7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</commentList>
</comments>
</file>

<file path=xl/comments7.xml><?xml version="1.0" encoding="utf-8"?>
<comments xmlns="http://schemas.openxmlformats.org/spreadsheetml/2006/main">
  <authors>
    <author>Miroslav Hošek</author>
    <author>Míra</author>
  </authors>
  <commentList>
    <comment ref="I8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M8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L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M10" authorId="1">
      <text>
        <r>
          <rPr>
            <sz val="9"/>
            <color indexed="81"/>
            <rFont val="Tahoma"/>
            <charset val="1"/>
          </rPr>
          <t>Odchylka mezi odečtenými a správnými výsledky v procentech</t>
        </r>
      </text>
    </comment>
    <comment ref="N10" authorId="1">
      <text>
        <r>
          <rPr>
            <sz val="9"/>
            <color indexed="81"/>
            <rFont val="Tahoma"/>
            <charset val="1"/>
          </rPr>
          <t>Odchylka mezi odečtenými a správnými výsledky v procentech</t>
        </r>
      </text>
    </comment>
    <comment ref="I29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Q29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Y29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31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31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31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31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31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31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31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31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31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31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31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N31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O31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P31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Q31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R31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S31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T31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U31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V31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W31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X31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Y31" authorId="0">
      <text>
        <r>
          <rPr>
            <sz val="9"/>
            <color indexed="81"/>
            <rFont val="Tahoma"/>
            <charset val="1"/>
          </rPr>
          <t>Odchylka mezi odečtenými a správnými výsledky v procentech</t>
        </r>
      </text>
    </comment>
    <comment ref="Z31" authorId="0">
      <text>
        <r>
          <rPr>
            <sz val="9"/>
            <color indexed="81"/>
            <rFont val="Tahoma"/>
            <charset val="1"/>
          </rPr>
          <t>Odchylka mezi odečtenými a správnými výsledky v procentech</t>
        </r>
      </text>
    </comment>
    <comment ref="AA31" authorId="0">
      <text>
        <r>
          <rPr>
            <sz val="9"/>
            <color indexed="81"/>
            <rFont val="Tahoma"/>
            <charset val="1"/>
          </rPr>
          <t>Odchylka mezi odečtenými a správnými výsledky v procentech</t>
        </r>
      </text>
    </comment>
    <comment ref="AB31" authorId="0">
      <text>
        <r>
          <rPr>
            <sz val="9"/>
            <color indexed="81"/>
            <rFont val="Tahoma"/>
            <charset val="1"/>
          </rPr>
          <t>Odchylka mezi odečtenými a správnými výsledky v procentech</t>
        </r>
      </text>
    </comment>
    <comment ref="AC31" authorId="0">
      <text>
        <r>
          <rPr>
            <sz val="9"/>
            <color indexed="81"/>
            <rFont val="Tahoma"/>
            <charset val="1"/>
          </rPr>
          <t>Odchylka mezi odečtenými a správnými výsledky v procentech</t>
        </r>
      </text>
    </comment>
    <comment ref="AD31" authorId="0">
      <text>
        <r>
          <rPr>
            <sz val="9"/>
            <color indexed="81"/>
            <rFont val="Tahoma"/>
            <charset val="1"/>
          </rPr>
          <t>Odchylka mezi odečtenými a správnými výsledky v procentech</t>
        </r>
      </text>
    </comment>
    <comment ref="AE31" authorId="0">
      <text>
        <r>
          <rPr>
            <sz val="9"/>
            <color indexed="81"/>
            <rFont val="Tahoma"/>
            <charset val="1"/>
          </rPr>
          <t>Odchylka mezi odečtenými a správnými výsledky v procentech</t>
        </r>
      </text>
    </comment>
    <comment ref="AF31" authorId="0">
      <text>
        <r>
          <rPr>
            <sz val="9"/>
            <color indexed="81"/>
            <rFont val="Tahoma"/>
            <charset val="1"/>
          </rPr>
          <t>Odchylka mezi odečtenými a správnými výsledky v procentech</t>
        </r>
      </text>
    </comment>
    <comment ref="I38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K38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M38" authorId="0">
      <text>
        <r>
          <rPr>
            <sz val="9"/>
            <color indexed="81"/>
            <rFont val="Tahoma"/>
            <charset val="1"/>
          </rPr>
          <t>Odchylky mezi odečtenými a správnými výsledky v procentech</t>
        </r>
      </text>
    </comment>
    <comment ref="C4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4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4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4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4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4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4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4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4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L4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M4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N4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</commentList>
</comments>
</file>

<file path=xl/comments8.xml><?xml version="1.0" encoding="utf-8"?>
<comments xmlns="http://schemas.openxmlformats.org/spreadsheetml/2006/main">
  <authors>
    <author>Miroslav Hošek</author>
    <author>Míra</author>
  </authors>
  <commentList>
    <comment ref="I8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N8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S8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N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O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P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Q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R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S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T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U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V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W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I33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M33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Q33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35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35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35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35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35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35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3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3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3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3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3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N3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O3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P3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Q3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R3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S3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T3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I63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N63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S63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65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65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65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65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65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65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6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6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6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6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65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N6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O6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P6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Q6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R65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S6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T6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U6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V6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W65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</commentList>
</comments>
</file>

<file path=xl/comments9.xml><?xml version="1.0" encoding="utf-8"?>
<comments xmlns="http://schemas.openxmlformats.org/spreadsheetml/2006/main">
  <authors>
    <author>Miroslav Hošek</author>
    <author>Míra</author>
  </authors>
  <commentList>
    <comment ref="I8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M8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Q8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10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10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10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10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N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O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P10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Q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R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S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T10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I31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L31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O31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33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33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33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33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33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H33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I33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J33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K33" authorId="0">
      <text>
        <r>
          <rPr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L33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M33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N33" authorId="0">
      <text>
        <r>
          <rPr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O33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P33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Q33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I60" authorId="0">
      <text>
        <r>
          <rPr>
            <sz val="9"/>
            <color indexed="81"/>
            <rFont val="Tahoma"/>
            <family val="2"/>
            <charset val="238"/>
          </rPr>
          <t>V těchto sloupcích hodnoty zjištěné pomocí vzorců</t>
        </r>
      </text>
    </comment>
    <comment ref="O60" authorId="0">
      <text>
        <r>
          <rPr>
            <sz val="9"/>
            <color indexed="81"/>
            <rFont val="Tahoma"/>
            <family val="2"/>
            <charset val="238"/>
          </rPr>
          <t>V těchto sloupcích odměřené hodnoty z programu VIKLAN jednotky</t>
        </r>
      </text>
    </comment>
    <comment ref="U60" authorId="0">
      <text>
        <r>
          <rPr>
            <sz val="9"/>
            <color indexed="81"/>
            <rFont val="Tahoma"/>
            <family val="2"/>
            <charset val="238"/>
          </rPr>
          <t>Odchylky mezi odečtenými a správnými výsledky v procentech</t>
        </r>
      </text>
    </comment>
    <comment ref="C62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D62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E62" authorId="0">
      <text>
        <r>
          <rPr>
            <sz val="9"/>
            <color indexed="81"/>
            <rFont val="Tahoma"/>
            <family val="2"/>
            <charset val="238"/>
          </rPr>
          <t>převedené hodnoty</t>
        </r>
      </text>
    </comment>
    <comment ref="F62" authorId="0">
      <text>
        <r>
          <rPr>
            <sz val="9"/>
            <color indexed="81"/>
            <rFont val="Tahoma"/>
            <family val="2"/>
            <charset val="238"/>
          </rPr>
          <t>Sloupec obsahuje vstupní hodnoty</t>
        </r>
      </text>
    </comment>
    <comment ref="G62" authorId="0">
      <text>
        <r>
          <rPr>
            <sz val="9"/>
            <color indexed="81"/>
            <rFont val="Tahoma"/>
            <family val="2"/>
            <charset val="238"/>
          </rPr>
          <t>Sloupec obsahuje výchozí jednotky</t>
        </r>
      </text>
    </comment>
    <comment ref="I62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J62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K62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L62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M62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N62" authorId="1">
      <text>
        <r>
          <rPr>
            <sz val="9"/>
            <color indexed="81"/>
            <rFont val="Tahoma"/>
            <charset val="1"/>
          </rPr>
          <t>Výsledná hodnota získaná použitím vzorce</t>
        </r>
      </text>
    </comment>
    <comment ref="O62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P62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Q62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R62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S62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T62" authorId="1">
      <text>
        <r>
          <rPr>
            <sz val="9"/>
            <color indexed="81"/>
            <rFont val="Tahoma"/>
            <charset val="1"/>
          </rPr>
          <t>Výsledná hodnota v programu VIKLAN Jednotky</t>
        </r>
      </text>
    </comment>
    <comment ref="U62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V62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W62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X62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Y62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Z62" authorId="0">
      <text>
        <r>
          <rPr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</commentList>
</comments>
</file>

<file path=xl/sharedStrings.xml><?xml version="1.0" encoding="utf-8"?>
<sst xmlns="http://schemas.openxmlformats.org/spreadsheetml/2006/main" count="3736" uniqueCount="159">
  <si>
    <t>zadané hodnoty</t>
  </si>
  <si>
    <t>výkon</t>
  </si>
  <si>
    <t>čas</t>
  </si>
  <si>
    <t>hodnota</t>
  </si>
  <si>
    <t>jednotka</t>
  </si>
  <si>
    <t>energie elektická</t>
  </si>
  <si>
    <t>energie elektrická</t>
  </si>
  <si>
    <t>vypočtené hodnoty v excelu</t>
  </si>
  <si>
    <t>odchylka v %</t>
  </si>
  <si>
    <t>kj</t>
  </si>
  <si>
    <t>J</t>
  </si>
  <si>
    <t>kcal</t>
  </si>
  <si>
    <t>kWh</t>
  </si>
  <si>
    <t>h</t>
  </si>
  <si>
    <t>min</t>
  </si>
  <si>
    <t>s</t>
  </si>
  <si>
    <t xml:space="preserve">odměřené hodnoty z VIKLAN </t>
  </si>
  <si>
    <t>odměřené hodnoty z VIKLAN</t>
  </si>
  <si>
    <t>kW</t>
  </si>
  <si>
    <t>kp.m/s</t>
  </si>
  <si>
    <t>mW</t>
  </si>
  <si>
    <t>W</t>
  </si>
  <si>
    <t>Kontroloval: Miroslav Hošek</t>
  </si>
  <si>
    <t>Dne: 22.2.2012</t>
  </si>
  <si>
    <t>HP</t>
  </si>
  <si>
    <t>kJ</t>
  </si>
  <si>
    <t>POROVNÁNÍ HODNOT Z PROGRAMU VIKLAN: FYZIKA</t>
  </si>
  <si>
    <t>energie kinetická</t>
  </si>
  <si>
    <t>hmotnost</t>
  </si>
  <si>
    <t>rychlost</t>
  </si>
  <si>
    <t>kg</t>
  </si>
  <si>
    <t>m/s</t>
  </si>
  <si>
    <t>g</t>
  </si>
  <si>
    <t>lb</t>
  </si>
  <si>
    <t>t</t>
  </si>
  <si>
    <t>tr oz</t>
  </si>
  <si>
    <t>km/h</t>
  </si>
  <si>
    <t>m/min</t>
  </si>
  <si>
    <t>MPH</t>
  </si>
  <si>
    <t>cm</t>
  </si>
  <si>
    <t>ft</t>
  </si>
  <si>
    <t>in</t>
  </si>
  <si>
    <t>m</t>
  </si>
  <si>
    <t>mm</t>
  </si>
  <si>
    <t>yd</t>
  </si>
  <si>
    <t>energie potenciální - polohová</t>
  </si>
  <si>
    <t>mi</t>
  </si>
  <si>
    <t>N/m</t>
  </si>
  <si>
    <t>výchylka pružnosti</t>
  </si>
  <si>
    <t>cl</t>
  </si>
  <si>
    <t>dl</t>
  </si>
  <si>
    <t>hl</t>
  </si>
  <si>
    <t>l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</si>
  <si>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</si>
  <si>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ml</t>
  </si>
  <si>
    <t>at</t>
  </si>
  <si>
    <t>atm</t>
  </si>
  <si>
    <t>bar</t>
  </si>
  <si>
    <t>kPa</t>
  </si>
  <si>
    <t>mm H20</t>
  </si>
  <si>
    <t>mPa</t>
  </si>
  <si>
    <t>Pa</t>
  </si>
  <si>
    <t>Psi</t>
  </si>
  <si>
    <t>Torr</t>
  </si>
  <si>
    <t>Tlak</t>
  </si>
  <si>
    <t>MPa</t>
  </si>
  <si>
    <t>psi</t>
  </si>
  <si>
    <t>Mpa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</si>
  <si>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</si>
  <si>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Energie potenciální - tlaková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</si>
  <si>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</si>
  <si>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objem</t>
  </si>
  <si>
    <t>hustota</t>
  </si>
  <si>
    <t>kg/l</t>
  </si>
  <si>
    <t>lb/cu ft</t>
  </si>
  <si>
    <r>
      <t>g/cm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</si>
  <si>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kg/m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</si>
  <si>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Hustota</t>
  </si>
  <si>
    <r>
      <t>g/cm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</si>
  <si>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r>
      <t>kg/m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</si>
  <si>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Síla</t>
  </si>
  <si>
    <t>Moment síly</t>
  </si>
  <si>
    <t>Ncm</t>
  </si>
  <si>
    <t>Nm</t>
  </si>
  <si>
    <t>kp</t>
  </si>
  <si>
    <t>N</t>
  </si>
  <si>
    <t>Ω</t>
  </si>
  <si>
    <t>A</t>
  </si>
  <si>
    <t>kV</t>
  </si>
  <si>
    <t>mV</t>
  </si>
  <si>
    <t>MV</t>
  </si>
  <si>
    <t>V</t>
  </si>
  <si>
    <t>µV</t>
  </si>
  <si>
    <t>kΩ</t>
  </si>
  <si>
    <t>mΩ</t>
  </si>
  <si>
    <t>MΩ</t>
  </si>
  <si>
    <t>µΩ</t>
  </si>
  <si>
    <t>kA</t>
  </si>
  <si>
    <t>mA</t>
  </si>
  <si>
    <t>µA</t>
  </si>
  <si>
    <t>l/s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</si>
  <si>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/h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</si>
  <si>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/min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</si>
  <si>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/s</t>
    </r>
  </si>
  <si>
    <t>a</t>
  </si>
  <si>
    <t>ac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</si>
  <si>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</si>
  <si>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dm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</si>
  <si>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ha</t>
  </si>
  <si>
    <r>
      <t>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</si>
  <si>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sq ft</t>
  </si>
  <si>
    <t>sq in</t>
  </si>
  <si>
    <r>
      <t>cm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</si>
  <si>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1/min</t>
  </si>
  <si>
    <t>1/s</t>
  </si>
  <si>
    <t>gal</t>
  </si>
  <si>
    <r>
      <t>ms</t>
    </r>
    <r>
      <rPr>
        <vertAlign val="superscript"/>
        <sz val="11"/>
        <color theme="1"/>
        <rFont val="Calibri"/>
        <family val="2"/>
        <charset val="238"/>
        <scheme val="minor"/>
      </rPr>
      <t>-2</t>
    </r>
  </si>
  <si>
    <r>
      <t>m s</t>
    </r>
    <r>
      <rPr>
        <vertAlign val="superscript"/>
        <sz val="11"/>
        <color theme="1"/>
        <rFont val="Calibri"/>
        <family val="2"/>
        <charset val="238"/>
        <scheme val="minor"/>
      </rPr>
      <t>-2</t>
    </r>
  </si>
  <si>
    <r>
      <t>m s</t>
    </r>
    <r>
      <rPr>
        <vertAlign val="superscript"/>
        <sz val="11"/>
        <color theme="1"/>
        <rFont val="Calibri"/>
        <family val="2"/>
        <charset val="238"/>
        <scheme val="minor"/>
      </rPr>
      <t>-2</t>
    </r>
    <r>
      <rPr>
        <sz val="11"/>
        <color theme="1"/>
        <rFont val="Calibri"/>
        <family val="2"/>
        <charset val="238"/>
        <scheme val="minor"/>
      </rPr>
      <t/>
    </r>
  </si>
  <si>
    <t>příkon spotřebiče</t>
  </si>
  <si>
    <t>výška nad úrovní s nulovou poloh. energií</t>
  </si>
  <si>
    <t>Energie elektrická</t>
  </si>
  <si>
    <t>Energie kinetická</t>
  </si>
  <si>
    <t>Energie potenciální  - polohová</t>
  </si>
  <si>
    <t>Energie potenciální - pružnost</t>
  </si>
  <si>
    <t>Ohmův zákon</t>
  </si>
  <si>
    <t>Průtok (z objemu a času)</t>
  </si>
  <si>
    <t>Průtok (z polohy a rychlosti)</t>
  </si>
  <si>
    <t>Rychlost (přímočarý pohyb)</t>
  </si>
  <si>
    <t>Rychlost obvodová</t>
  </si>
  <si>
    <t>Síla gravitační</t>
  </si>
  <si>
    <t>Výkon elektrický (stejnosměrný)</t>
  </si>
  <si>
    <t>Výkon mech. (přímočarý pohyb)</t>
  </si>
  <si>
    <t>Výkon mechanický (rotace)</t>
  </si>
  <si>
    <t>energie</t>
  </si>
  <si>
    <t>tuhost pružnosti</t>
  </si>
  <si>
    <t xml:space="preserve">energie </t>
  </si>
  <si>
    <t>tlak</t>
  </si>
  <si>
    <t>objem kapaliny (plynu)</t>
  </si>
  <si>
    <t>síla</t>
  </si>
  <si>
    <t>délka ramene</t>
  </si>
  <si>
    <t>moment síly</t>
  </si>
  <si>
    <t>elektrický odpor</t>
  </si>
  <si>
    <t>elektrický proud</t>
  </si>
  <si>
    <t>elektrické napětí</t>
  </si>
  <si>
    <t>průtok</t>
  </si>
  <si>
    <t>plocha průřezu</t>
  </si>
  <si>
    <t>rychlost proudění</t>
  </si>
  <si>
    <t>dráha</t>
  </si>
  <si>
    <t>otáčky</t>
  </si>
  <si>
    <t>obvodová rychlost</t>
  </si>
  <si>
    <t>poloměr rotace</t>
  </si>
  <si>
    <t>zrychlení</t>
  </si>
  <si>
    <t>tíhové zrychlení</t>
  </si>
  <si>
    <t>plocha</t>
  </si>
  <si>
    <t>elektrický výkon</t>
  </si>
  <si>
    <t>µm</t>
  </si>
  <si>
    <r>
      <t>km h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*s</t>
    </r>
    <r>
      <rPr>
        <vertAlign val="superscript"/>
        <sz val="11"/>
        <color theme="1"/>
        <rFont val="Calibri"/>
        <family val="2"/>
        <charset val="238"/>
        <scheme val="minor"/>
      </rPr>
      <t>-1</t>
    </r>
  </si>
  <si>
    <t>vypočtené hodnoty v Excelu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</si>
</sst>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64" formatCode="0.0"/>
    <numFmt numFmtId="165" formatCode="0.00000%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E+00"/>
    <numFmt numFmtId="174" formatCode="0.0000000000"/>
    <numFmt numFmtId="175" formatCode="0.0000000000%"/>
    <numFmt numFmtId="176" formatCode="0.000000000000"/>
    <numFmt numFmtId="177" formatCode="[$-405]General"/>
    <numFmt numFmtId="178" formatCode="[$-405]0.00E+000"/>
    <numFmt numFmtId="179" formatCode="[$-405]0.00"/>
    <numFmt numFmtId="180" formatCode="0.00000000000"/>
    <numFmt numFmtId="181" formatCode="0.0000000000000"/>
    <numFmt numFmtId="182" formatCode="0.00000000000000"/>
    <numFmt numFmtId="183" formatCode="[$-405]0.00E+00"/>
    <numFmt numFmtId="184" formatCode="[$-405]0.0000"/>
    <numFmt numFmtId="185" formatCode="[$-405]0.00000"/>
    <numFmt numFmtId="186" formatCode="[$-405]0.000000"/>
    <numFmt numFmtId="187" formatCode="[$-405]0.0000000"/>
    <numFmt numFmtId="188" formatCode="[$-405]0.00000000"/>
    <numFmt numFmtId="189" formatCode="[$-405]0.000000000"/>
    <numFmt numFmtId="190" formatCode="[$-405]0.00000000000000"/>
  </numFmts>
  <fonts count="9" x14ac:knownFonts="1"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sz val="9"/>
      <color indexed="81"/>
      <name val="Tahoma"/>
      <charset val="1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44BDE8"/>
        <bgColor indexed="64"/>
      </patternFill>
    </fill>
    <fill>
      <patternFill patternType="solid">
        <fgColor rgb="FF99CCFF"/>
        <bgColor rgb="FF8EB4E3"/>
      </patternFill>
    </fill>
    <fill>
      <patternFill patternType="solid">
        <fgColor rgb="FF3399FF"/>
        <bgColor rgb="FFB9CDE5"/>
      </patternFill>
    </fill>
    <fill>
      <patternFill patternType="solid">
        <fgColor rgb="FF6699FF"/>
        <bgColor rgb="FFB7DEE8"/>
      </patternFill>
    </fill>
    <fill>
      <patternFill patternType="solid">
        <fgColor rgb="FF6699FF"/>
        <bgColor rgb="FF00CCFF"/>
      </patternFill>
    </fill>
    <fill>
      <patternFill patternType="solid">
        <fgColor rgb="FF44BDE8"/>
        <bgColor rgb="FF00CCFF"/>
      </patternFill>
    </fill>
    <fill>
      <patternFill patternType="solid">
        <fgColor rgb="FF44BDE8"/>
        <bgColor rgb="FFB7DEE8"/>
      </patternFill>
    </fill>
    <fill>
      <patternFill patternType="solid">
        <fgColor rgb="FF6699FF"/>
        <bgColor rgb="FF6699FF"/>
      </patternFill>
    </fill>
    <fill>
      <patternFill patternType="solid">
        <fgColor rgb="FF44BDE8"/>
        <bgColor rgb="FF44BDE8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rgb="FF3399FF"/>
      </patternFill>
    </fill>
    <fill>
      <patternFill patternType="solid">
        <fgColor theme="8" tint="0.39997558519241921"/>
        <bgColor rgb="FF99CCFF"/>
      </patternFill>
    </fill>
    <fill>
      <patternFill patternType="solid">
        <fgColor rgb="FF1DA4FF"/>
        <bgColor indexed="64"/>
      </patternFill>
    </fill>
    <fill>
      <patternFill patternType="solid">
        <fgColor rgb="FF1DA4FF"/>
        <bgColor rgb="FF8EB4E3"/>
      </patternFill>
    </fill>
    <fill>
      <patternFill patternType="solid">
        <fgColor rgb="FF1DA4FF"/>
        <bgColor rgb="FF3399FF"/>
      </patternFill>
    </fill>
    <fill>
      <patternFill patternType="solid">
        <fgColor theme="4" tint="0.39997558519241921"/>
        <bgColor rgb="FF99CCFF"/>
      </patternFill>
    </fill>
    <fill>
      <patternFill patternType="solid">
        <fgColor theme="4" tint="0.39997558519241921"/>
        <bgColor rgb="FF3399FF"/>
      </patternFill>
    </fill>
    <fill>
      <patternFill patternType="solid">
        <fgColor rgb="FF7E81F2"/>
        <bgColor indexed="64"/>
      </patternFill>
    </fill>
    <fill>
      <patternFill patternType="solid">
        <fgColor rgb="FF7E81F2"/>
        <bgColor rgb="FFB9CDE5"/>
      </patternFill>
    </fill>
    <fill>
      <patternFill patternType="solid">
        <fgColor rgb="FF6D90FF"/>
        <bgColor indexed="64"/>
      </patternFill>
    </fill>
    <fill>
      <patternFill patternType="solid">
        <fgColor rgb="FF6D90FF"/>
        <bgColor rgb="FF8EB4E3"/>
      </patternFill>
    </fill>
    <fill>
      <patternFill patternType="solid">
        <fgColor rgb="FF6D90FF"/>
        <bgColor rgb="FF7CDDF0"/>
      </patternFill>
    </fill>
    <fill>
      <patternFill patternType="solid">
        <fgColor theme="4" tint="-0.249977111117893"/>
        <bgColor rgb="FF64C1DE"/>
      </patternFill>
    </fill>
    <fill>
      <patternFill patternType="solid">
        <fgColor rgb="FF3BA0BB"/>
        <bgColor indexed="64"/>
      </patternFill>
    </fill>
    <fill>
      <patternFill patternType="solid">
        <fgColor rgb="FF0D9D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8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/>
      <top style="thick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ck">
        <color auto="1"/>
      </bottom>
      <diagonal/>
    </border>
    <border>
      <left style="thin">
        <color rgb="FF000000"/>
      </left>
      <right/>
      <top style="thick">
        <color auto="1"/>
      </top>
      <bottom style="thin">
        <color rgb="FF000000"/>
      </bottom>
      <diagonal/>
    </border>
    <border>
      <left/>
      <right style="thin">
        <color rgb="FF000000"/>
      </right>
      <top style="thick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auto="1"/>
      </bottom>
      <diagonal/>
    </border>
    <border>
      <left/>
      <right style="thin">
        <color rgb="FF000000"/>
      </right>
      <top style="thin">
        <color rgb="FF000000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rgb="FF000000"/>
      </bottom>
      <diagonal/>
    </border>
    <border>
      <left/>
      <right style="thick">
        <color auto="1"/>
      </right>
      <top style="thick">
        <color auto="1"/>
      </top>
      <bottom style="thin">
        <color rgb="FF000000"/>
      </bottom>
      <diagonal/>
    </border>
    <border>
      <left style="thick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auto="1"/>
      </right>
      <top style="thin">
        <color rgb="FF000000"/>
      </top>
      <bottom style="thin">
        <color rgb="FF000000"/>
      </bottom>
      <diagonal/>
    </border>
    <border>
      <left style="thick">
        <color auto="1"/>
      </left>
      <right/>
      <top style="thin">
        <color rgb="FF000000"/>
      </top>
      <bottom style="thick">
        <color auto="1"/>
      </bottom>
      <diagonal/>
    </border>
    <border>
      <left/>
      <right style="thick">
        <color auto="1"/>
      </right>
      <top style="thin">
        <color rgb="FF000000"/>
      </top>
      <bottom style="thick">
        <color auto="1"/>
      </bottom>
      <diagonal/>
    </border>
    <border>
      <left style="thick">
        <color auto="1"/>
      </left>
      <right/>
      <top/>
      <bottom style="thin">
        <color rgb="FF000000"/>
      </bottom>
      <diagonal/>
    </border>
    <border>
      <left/>
      <right style="thick">
        <color auto="1"/>
      </right>
      <top/>
      <bottom style="thin">
        <color rgb="FF000000"/>
      </bottom>
      <diagonal/>
    </border>
    <border>
      <left style="thick">
        <color auto="1"/>
      </left>
      <right/>
      <top style="thin">
        <color rgb="FF000000"/>
      </top>
      <bottom/>
      <diagonal/>
    </border>
    <border>
      <left/>
      <right style="thick">
        <color auto="1"/>
      </right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ck">
        <color auto="1"/>
      </bottom>
      <diagonal/>
    </border>
    <border>
      <left/>
      <right style="thin">
        <color rgb="FF000000"/>
      </right>
      <top/>
      <bottom style="thick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ck">
        <color auto="1"/>
      </top>
      <bottom style="thin">
        <color auto="1"/>
      </bottom>
      <diagonal/>
    </border>
    <border>
      <left/>
      <right style="thin">
        <color rgb="FF000000"/>
      </right>
      <top style="thick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ck">
        <color auto="1"/>
      </bottom>
      <diagonal/>
    </border>
    <border>
      <left/>
      <right style="thin">
        <color rgb="FF000000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177" fontId="7" fillId="0" borderId="0"/>
    <xf numFmtId="0" fontId="7" fillId="0" borderId="0"/>
  </cellStyleXfs>
  <cellXfs count="253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40" xfId="0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2" fontId="0" fillId="7" borderId="32" xfId="0" applyNumberFormat="1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2" fontId="0" fillId="7" borderId="33" xfId="0" applyNumberFormat="1" applyFill="1" applyBorder="1" applyAlignment="1">
      <alignment horizontal="center"/>
    </xf>
    <xf numFmtId="2" fontId="0" fillId="7" borderId="35" xfId="0" applyNumberFormat="1" applyFill="1" applyBorder="1" applyAlignment="1">
      <alignment horizontal="center"/>
    </xf>
    <xf numFmtId="2" fontId="0" fillId="7" borderId="36" xfId="0" applyNumberFormat="1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2" fontId="0" fillId="7" borderId="37" xfId="0" applyNumberFormat="1" applyFill="1" applyBorder="1" applyAlignment="1">
      <alignment horizontal="center"/>
    </xf>
    <xf numFmtId="2" fontId="0" fillId="7" borderId="39" xfId="0" applyNumberFormat="1" applyFill="1" applyBorder="1" applyAlignment="1">
      <alignment horizontal="center"/>
    </xf>
    <xf numFmtId="0" fontId="0" fillId="7" borderId="50" xfId="0" applyFill="1" applyBorder="1" applyAlignment="1">
      <alignment horizontal="center"/>
    </xf>
    <xf numFmtId="2" fontId="0" fillId="7" borderId="41" xfId="0" applyNumberForma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2" fontId="0" fillId="7" borderId="42" xfId="0" applyNumberFormat="1" applyFill="1" applyBorder="1" applyAlignment="1">
      <alignment horizontal="center"/>
    </xf>
    <xf numFmtId="2" fontId="0" fillId="7" borderId="44" xfId="0" applyNumberFormat="1" applyFill="1" applyBorder="1" applyAlignment="1">
      <alignment horizontal="center"/>
    </xf>
    <xf numFmtId="0" fontId="0" fillId="7" borderId="44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2" fontId="0" fillId="4" borderId="21" xfId="0" applyNumberFormat="1" applyFill="1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0" fillId="5" borderId="55" xfId="0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0" fillId="7" borderId="58" xfId="0" applyFill="1" applyBorder="1" applyAlignment="1">
      <alignment horizontal="center"/>
    </xf>
    <xf numFmtId="0" fontId="0" fillId="7" borderId="55" xfId="0" applyFill="1" applyBorder="1" applyAlignment="1">
      <alignment horizontal="center"/>
    </xf>
    <xf numFmtId="0" fontId="0" fillId="7" borderId="57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4" borderId="60" xfId="0" applyFill="1" applyBorder="1" applyAlignment="1">
      <alignment horizontal="center"/>
    </xf>
    <xf numFmtId="0" fontId="0" fillId="4" borderId="61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8" borderId="55" xfId="0" applyFill="1" applyBorder="1" applyAlignment="1">
      <alignment horizontal="center"/>
    </xf>
    <xf numFmtId="0" fontId="0" fillId="9" borderId="55" xfId="0" applyFill="1" applyBorder="1" applyAlignment="1">
      <alignment horizontal="center"/>
    </xf>
    <xf numFmtId="0" fontId="0" fillId="9" borderId="57" xfId="0" applyFill="1" applyBorder="1" applyAlignment="1">
      <alignment horizontal="center"/>
    </xf>
    <xf numFmtId="1" fontId="0" fillId="5" borderId="32" xfId="0" applyNumberFormat="1" applyFill="1" applyBorder="1" applyAlignment="1">
      <alignment horizontal="center"/>
    </xf>
    <xf numFmtId="1" fontId="0" fillId="7" borderId="32" xfId="0" applyNumberFormat="1" applyFill="1" applyBorder="1" applyAlignment="1">
      <alignment horizontal="center"/>
    </xf>
    <xf numFmtId="0" fontId="0" fillId="7" borderId="62" xfId="0" applyFill="1" applyBorder="1" applyAlignment="1">
      <alignment horizontal="center"/>
    </xf>
    <xf numFmtId="0" fontId="0" fillId="7" borderId="53" xfId="0" applyFill="1" applyBorder="1" applyAlignment="1">
      <alignment horizontal="center"/>
    </xf>
    <xf numFmtId="1" fontId="0" fillId="7" borderId="6" xfId="0" applyNumberFormat="1" applyFill="1" applyBorder="1" applyAlignment="1">
      <alignment horizontal="center"/>
    </xf>
    <xf numFmtId="1" fontId="0" fillId="7" borderId="35" xfId="0" applyNumberFormat="1" applyFill="1" applyBorder="1" applyAlignment="1">
      <alignment horizontal="center"/>
    </xf>
    <xf numFmtId="1" fontId="0" fillId="2" borderId="35" xfId="0" applyNumberFormat="1" applyFill="1" applyBorder="1" applyAlignment="1">
      <alignment horizontal="center"/>
    </xf>
    <xf numFmtId="0" fontId="0" fillId="4" borderId="72" xfId="0" applyFill="1" applyBorder="1" applyAlignment="1">
      <alignment horizontal="center"/>
    </xf>
    <xf numFmtId="0" fontId="0" fillId="3" borderId="74" xfId="0" applyFill="1" applyBorder="1" applyAlignment="1">
      <alignment horizontal="center"/>
    </xf>
    <xf numFmtId="0" fontId="0" fillId="4" borderId="7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79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79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5" fillId="0" borderId="0" xfId="0" applyFont="1" applyAlignment="1">
      <alignment horizontal="center"/>
    </xf>
    <xf numFmtId="172" fontId="0" fillId="7" borderId="41" xfId="0" applyNumberFormat="1" applyFill="1" applyBorder="1" applyAlignment="1">
      <alignment horizontal="center"/>
    </xf>
    <xf numFmtId="1" fontId="0" fillId="7" borderId="41" xfId="0" applyNumberFormat="1" applyFill="1" applyBorder="1" applyAlignment="1">
      <alignment horizontal="center"/>
    </xf>
    <xf numFmtId="164" fontId="0" fillId="7" borderId="32" xfId="0" applyNumberFormat="1" applyFill="1" applyBorder="1" applyAlignment="1">
      <alignment horizontal="center"/>
    </xf>
    <xf numFmtId="170" fontId="0" fillId="7" borderId="32" xfId="0" applyNumberFormat="1" applyFill="1" applyBorder="1" applyAlignment="1">
      <alignment horizontal="center"/>
    </xf>
    <xf numFmtId="167" fontId="0" fillId="7" borderId="37" xfId="0" applyNumberFormat="1" applyFill="1" applyBorder="1" applyAlignment="1">
      <alignment horizontal="center"/>
    </xf>
    <xf numFmtId="169" fontId="0" fillId="7" borderId="33" xfId="0" applyNumberFormat="1" applyFill="1" applyBorder="1" applyAlignment="1">
      <alignment horizontal="center"/>
    </xf>
    <xf numFmtId="172" fontId="0" fillId="7" borderId="42" xfId="0" applyNumberFormat="1" applyFill="1" applyBorder="1" applyAlignment="1">
      <alignment horizontal="center"/>
    </xf>
    <xf numFmtId="172" fontId="0" fillId="7" borderId="33" xfId="0" applyNumberFormat="1" applyFill="1" applyBorder="1" applyAlignment="1">
      <alignment horizontal="center"/>
    </xf>
    <xf numFmtId="172" fontId="0" fillId="7" borderId="35" xfId="0" applyNumberForma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7" borderId="39" xfId="0" applyNumberFormat="1" applyFill="1" applyBorder="1" applyAlignment="1">
      <alignment horizontal="center"/>
    </xf>
    <xf numFmtId="172" fontId="0" fillId="7" borderId="37" xfId="0" applyNumberFormat="1" applyFill="1" applyBorder="1" applyAlignment="1">
      <alignment horizontal="center"/>
    </xf>
    <xf numFmtId="172" fontId="0" fillId="7" borderId="32" xfId="0" applyNumberFormat="1" applyFill="1" applyBorder="1" applyAlignment="1">
      <alignment horizontal="center"/>
    </xf>
    <xf numFmtId="1" fontId="0" fillId="5" borderId="41" xfId="0" applyNumberFormat="1" applyFill="1" applyBorder="1" applyAlignment="1">
      <alignment horizontal="center"/>
    </xf>
    <xf numFmtId="1" fontId="0" fillId="5" borderId="36" xfId="0" applyNumberFormat="1" applyFill="1" applyBorder="1" applyAlignment="1">
      <alignment horizontal="center"/>
    </xf>
    <xf numFmtId="1" fontId="0" fillId="7" borderId="36" xfId="0" applyNumberFormat="1" applyFill="1" applyBorder="1" applyAlignment="1">
      <alignment horizontal="center"/>
    </xf>
    <xf numFmtId="1" fontId="0" fillId="7" borderId="43" xfId="0" applyNumberFormat="1" applyFill="1" applyBorder="1" applyAlignment="1">
      <alignment horizontal="center"/>
    </xf>
    <xf numFmtId="1" fontId="0" fillId="7" borderId="34" xfId="0" applyNumberFormat="1" applyFill="1" applyBorder="1" applyAlignment="1">
      <alignment horizontal="center"/>
    </xf>
    <xf numFmtId="1" fontId="0" fillId="7" borderId="38" xfId="0" applyNumberFormat="1" applyFill="1" applyBorder="1" applyAlignment="1">
      <alignment horizontal="center"/>
    </xf>
    <xf numFmtId="1" fontId="0" fillId="9" borderId="32" xfId="0" applyNumberFormat="1" applyFill="1" applyBorder="1" applyAlignment="1">
      <alignment horizontal="center"/>
    </xf>
    <xf numFmtId="1" fontId="0" fillId="9" borderId="34" xfId="0" applyNumberFormat="1" applyFill="1" applyBorder="1" applyAlignment="1">
      <alignment horizontal="center"/>
    </xf>
    <xf numFmtId="1" fontId="0" fillId="9" borderId="38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71" xfId="0" applyFill="1" applyBorder="1" applyAlignment="1">
      <alignment horizontal="center"/>
    </xf>
    <xf numFmtId="0" fontId="0" fillId="7" borderId="67" xfId="0" applyFill="1" applyBorder="1" applyAlignment="1">
      <alignment horizontal="center"/>
    </xf>
    <xf numFmtId="0" fontId="0" fillId="7" borderId="70" xfId="0" applyFill="1" applyBorder="1" applyAlignment="1">
      <alignment horizontal="center"/>
    </xf>
    <xf numFmtId="0" fontId="0" fillId="4" borderId="5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94" xfId="0" applyFill="1" applyBorder="1" applyAlignment="1">
      <alignment horizontal="center"/>
    </xf>
    <xf numFmtId="1" fontId="0" fillId="7" borderId="3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75" fontId="0" fillId="2" borderId="28" xfId="0" applyNumberFormat="1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1" fontId="0" fillId="7" borderId="28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7" borderId="72" xfId="0" applyFill="1" applyBorder="1" applyAlignment="1">
      <alignment horizontal="center"/>
    </xf>
    <xf numFmtId="175" fontId="0" fillId="2" borderId="6" xfId="0" applyNumberFormat="1" applyFill="1" applyBorder="1" applyAlignment="1">
      <alignment horizontal="center"/>
    </xf>
    <xf numFmtId="175" fontId="0" fillId="2" borderId="32" xfId="0" applyNumberFormat="1" applyFill="1" applyBorder="1" applyAlignment="1">
      <alignment horizontal="center"/>
    </xf>
    <xf numFmtId="175" fontId="0" fillId="2" borderId="35" xfId="0" applyNumberFormat="1" applyFill="1" applyBorder="1" applyAlignment="1">
      <alignment horizontal="center"/>
    </xf>
    <xf numFmtId="175" fontId="0" fillId="2" borderId="8" xfId="0" applyNumberFormat="1" applyFill="1" applyBorder="1" applyAlignment="1">
      <alignment horizontal="center"/>
    </xf>
    <xf numFmtId="175" fontId="0" fillId="2" borderId="67" xfId="0" applyNumberFormat="1" applyFill="1" applyBorder="1" applyAlignment="1">
      <alignment horizontal="center"/>
    </xf>
    <xf numFmtId="175" fontId="0" fillId="2" borderId="72" xfId="0" applyNumberFormat="1" applyFill="1" applyBorder="1" applyAlignment="1">
      <alignment horizontal="center"/>
    </xf>
    <xf numFmtId="1" fontId="0" fillId="7" borderId="45" xfId="0" applyNumberFormat="1" applyFill="1" applyBorder="1" applyAlignment="1">
      <alignment horizontal="center"/>
    </xf>
    <xf numFmtId="1" fontId="0" fillId="2" borderId="44" xfId="0" applyNumberFormat="1" applyFill="1" applyBorder="1" applyAlignment="1">
      <alignment horizontal="center"/>
    </xf>
    <xf numFmtId="175" fontId="0" fillId="2" borderId="41" xfId="0" applyNumberFormat="1" applyFill="1" applyBorder="1" applyAlignment="1">
      <alignment horizontal="center"/>
    </xf>
    <xf numFmtId="175" fontId="0" fillId="2" borderId="69" xfId="0" applyNumberFormat="1" applyFill="1" applyBorder="1" applyAlignment="1">
      <alignment horizontal="center"/>
    </xf>
    <xf numFmtId="175" fontId="0" fillId="2" borderId="44" xfId="0" applyNumberFormat="1" applyFill="1" applyBorder="1" applyAlignment="1">
      <alignment horizontal="center"/>
    </xf>
    <xf numFmtId="0" fontId="0" fillId="7" borderId="54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167" fontId="0" fillId="7" borderId="28" xfId="0" applyNumberFormat="1" applyFill="1" applyBorder="1" applyAlignment="1">
      <alignment horizontal="center"/>
    </xf>
    <xf numFmtId="1" fontId="0" fillId="7" borderId="71" xfId="0" applyNumberFormat="1" applyFill="1" applyBorder="1" applyAlignment="1">
      <alignment horizontal="center"/>
    </xf>
    <xf numFmtId="2" fontId="0" fillId="7" borderId="71" xfId="0" applyNumberFormat="1" applyFill="1" applyBorder="1" applyAlignment="1">
      <alignment horizontal="center"/>
    </xf>
    <xf numFmtId="167" fontId="0" fillId="7" borderId="67" xfId="0" applyNumberFormat="1" applyFill="1" applyBorder="1" applyAlignment="1">
      <alignment horizontal="center"/>
    </xf>
    <xf numFmtId="170" fontId="0" fillId="7" borderId="67" xfId="0" applyNumberFormat="1" applyFill="1" applyBorder="1" applyAlignment="1">
      <alignment horizontal="center"/>
    </xf>
    <xf numFmtId="170" fontId="0" fillId="7" borderId="35" xfId="0" applyNumberFormat="1" applyFill="1" applyBorder="1" applyAlignment="1">
      <alignment horizontal="center"/>
    </xf>
    <xf numFmtId="2" fontId="0" fillId="7" borderId="67" xfId="0" applyNumberFormat="1" applyFill="1" applyBorder="1" applyAlignment="1">
      <alignment horizontal="center"/>
    </xf>
    <xf numFmtId="175" fontId="0" fillId="7" borderId="32" xfId="0" applyNumberFormat="1" applyFill="1" applyBorder="1" applyAlignment="1">
      <alignment horizontal="center"/>
    </xf>
    <xf numFmtId="175" fontId="0" fillId="7" borderId="67" xfId="0" applyNumberFormat="1" applyFill="1" applyBorder="1" applyAlignment="1">
      <alignment horizontal="center"/>
    </xf>
    <xf numFmtId="175" fontId="0" fillId="7" borderId="35" xfId="0" applyNumberFormat="1" applyFill="1" applyBorder="1" applyAlignment="1">
      <alignment horizontal="center"/>
    </xf>
    <xf numFmtId="1" fontId="0" fillId="7" borderId="67" xfId="0" applyNumberFormat="1" applyFill="1" applyBorder="1" applyAlignment="1">
      <alignment horizontal="center"/>
    </xf>
    <xf numFmtId="1" fontId="0" fillId="7" borderId="33" xfId="0" applyNumberFormat="1" applyFill="1" applyBorder="1" applyAlignment="1">
      <alignment horizontal="center"/>
    </xf>
    <xf numFmtId="168" fontId="0" fillId="7" borderId="33" xfId="0" applyNumberFormat="1" applyFill="1" applyBorder="1" applyAlignment="1">
      <alignment horizontal="center"/>
    </xf>
    <xf numFmtId="1" fontId="0" fillId="7" borderId="70" xfId="0" applyNumberFormat="1" applyFill="1" applyBorder="1" applyAlignment="1">
      <alignment horizontal="center"/>
    </xf>
    <xf numFmtId="175" fontId="0" fillId="7" borderId="45" xfId="0" applyNumberFormat="1" applyFill="1" applyBorder="1" applyAlignment="1">
      <alignment horizontal="center"/>
    </xf>
    <xf numFmtId="175" fontId="0" fillId="7" borderId="68" xfId="0" applyNumberFormat="1" applyFill="1" applyBorder="1" applyAlignment="1">
      <alignment horizontal="center"/>
    </xf>
    <xf numFmtId="175" fontId="0" fillId="7" borderId="46" xfId="0" applyNumberFormat="1" applyFill="1" applyBorder="1" applyAlignment="1">
      <alignment horizontal="center"/>
    </xf>
    <xf numFmtId="168" fontId="0" fillId="7" borderId="29" xfId="0" applyNumberFormat="1" applyFill="1" applyBorder="1" applyAlignment="1">
      <alignment horizontal="center"/>
    </xf>
    <xf numFmtId="168" fontId="0" fillId="7" borderId="71" xfId="0" applyNumberFormat="1" applyFill="1" applyBorder="1" applyAlignment="1">
      <alignment horizontal="center"/>
    </xf>
    <xf numFmtId="168" fontId="0" fillId="7" borderId="67" xfId="0" applyNumberFormat="1" applyFill="1" applyBorder="1" applyAlignment="1">
      <alignment horizontal="center"/>
    </xf>
    <xf numFmtId="168" fontId="0" fillId="7" borderId="32" xfId="0" applyNumberFormat="1" applyFill="1" applyBorder="1" applyAlignment="1">
      <alignment horizontal="center"/>
    </xf>
    <xf numFmtId="168" fontId="0" fillId="7" borderId="35" xfId="0" applyNumberFormat="1" applyFill="1" applyBorder="1" applyAlignment="1">
      <alignment horizontal="center"/>
    </xf>
    <xf numFmtId="168" fontId="0" fillId="7" borderId="37" xfId="0" applyNumberFormat="1" applyFill="1" applyBorder="1" applyAlignment="1">
      <alignment horizontal="center"/>
    </xf>
    <xf numFmtId="168" fontId="0" fillId="7" borderId="70" xfId="0" applyNumberFormat="1" applyFill="1" applyBorder="1" applyAlignment="1">
      <alignment horizontal="center"/>
    </xf>
    <xf numFmtId="168" fontId="0" fillId="7" borderId="36" xfId="0" applyNumberFormat="1" applyFill="1" applyBorder="1" applyAlignment="1">
      <alignment horizontal="center"/>
    </xf>
    <xf numFmtId="166" fontId="0" fillId="7" borderId="71" xfId="0" applyNumberFormat="1" applyFill="1" applyBorder="1" applyAlignment="1">
      <alignment horizontal="center"/>
    </xf>
    <xf numFmtId="166" fontId="0" fillId="7" borderId="67" xfId="0" applyNumberFormat="1" applyFill="1" applyBorder="1" applyAlignment="1">
      <alignment horizontal="center"/>
    </xf>
    <xf numFmtId="166" fontId="0" fillId="7" borderId="70" xfId="0" applyNumberFormat="1" applyFill="1" applyBorder="1" applyAlignment="1">
      <alignment horizontal="center"/>
    </xf>
    <xf numFmtId="175" fontId="0" fillId="7" borderId="36" xfId="0" applyNumberFormat="1" applyFill="1" applyBorder="1" applyAlignment="1">
      <alignment horizontal="center"/>
    </xf>
    <xf numFmtId="175" fontId="0" fillId="7" borderId="70" xfId="0" applyNumberFormat="1" applyFill="1" applyBorder="1" applyAlignment="1">
      <alignment horizontal="center"/>
    </xf>
    <xf numFmtId="175" fontId="0" fillId="7" borderId="39" xfId="0" applyNumberFormat="1" applyFill="1" applyBorder="1" applyAlignment="1">
      <alignment horizontal="center"/>
    </xf>
    <xf numFmtId="2" fontId="0" fillId="9" borderId="32" xfId="0" applyNumberFormat="1" applyFill="1" applyBorder="1" applyAlignment="1">
      <alignment horizontal="center"/>
    </xf>
    <xf numFmtId="2" fontId="0" fillId="9" borderId="33" xfId="0" applyNumberFormat="1" applyFill="1" applyBorder="1" applyAlignment="1">
      <alignment horizontal="center"/>
    </xf>
    <xf numFmtId="2" fontId="0" fillId="9" borderId="35" xfId="0" applyNumberFormat="1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164" fontId="0" fillId="9" borderId="36" xfId="0" applyNumberFormat="1" applyFill="1" applyBorder="1" applyAlignment="1">
      <alignment horizontal="center"/>
    </xf>
    <xf numFmtId="2" fontId="0" fillId="9" borderId="37" xfId="0" applyNumberFormat="1" applyFill="1" applyBorder="1" applyAlignment="1">
      <alignment horizontal="center"/>
    </xf>
    <xf numFmtId="175" fontId="0" fillId="8" borderId="67" xfId="0" applyNumberFormat="1" applyFill="1" applyBorder="1" applyAlignment="1">
      <alignment horizontal="center"/>
    </xf>
    <xf numFmtId="175" fontId="0" fillId="8" borderId="35" xfId="0" applyNumberFormat="1" applyFill="1" applyBorder="1" applyAlignment="1">
      <alignment horizontal="center"/>
    </xf>
    <xf numFmtId="164" fontId="0" fillId="7" borderId="71" xfId="0" applyNumberFormat="1" applyFill="1" applyBorder="1" applyAlignment="1">
      <alignment horizontal="center"/>
    </xf>
    <xf numFmtId="170" fontId="0" fillId="7" borderId="31" xfId="0" applyNumberFormat="1" applyFill="1" applyBorder="1" applyAlignment="1">
      <alignment horizontal="center"/>
    </xf>
    <xf numFmtId="2" fontId="0" fillId="7" borderId="29" xfId="0" applyNumberFormat="1" applyFill="1" applyBorder="1" applyAlignment="1">
      <alignment horizontal="center"/>
    </xf>
    <xf numFmtId="175" fontId="0" fillId="7" borderId="41" xfId="0" applyNumberFormat="1" applyFill="1" applyBorder="1" applyAlignment="1">
      <alignment horizontal="center"/>
    </xf>
    <xf numFmtId="175" fontId="0" fillId="7" borderId="69" xfId="0" applyNumberFormat="1" applyFill="1" applyBorder="1" applyAlignment="1">
      <alignment horizontal="center"/>
    </xf>
    <xf numFmtId="175" fontId="0" fillId="7" borderId="44" xfId="0" applyNumberFormat="1" applyFill="1" applyBorder="1" applyAlignment="1">
      <alignment horizontal="center"/>
    </xf>
    <xf numFmtId="170" fontId="0" fillId="7" borderId="36" xfId="0" applyNumberFormat="1" applyFill="1" applyBorder="1" applyAlignment="1">
      <alignment horizontal="center"/>
    </xf>
    <xf numFmtId="170" fontId="0" fillId="7" borderId="39" xfId="0" applyNumberFormat="1" applyFill="1" applyBorder="1" applyAlignment="1">
      <alignment horizontal="center"/>
    </xf>
    <xf numFmtId="2" fontId="0" fillId="7" borderId="70" xfId="0" applyNumberFormat="1" applyFill="1" applyBorder="1" applyAlignment="1">
      <alignment horizontal="center"/>
    </xf>
    <xf numFmtId="175" fontId="0" fillId="7" borderId="6" xfId="0" applyNumberFormat="1" applyFill="1" applyBorder="1" applyAlignment="1">
      <alignment horizontal="center"/>
    </xf>
    <xf numFmtId="175" fontId="0" fillId="7" borderId="72" xfId="0" applyNumberFormat="1" applyFill="1" applyBorder="1" applyAlignment="1">
      <alignment horizontal="center"/>
    </xf>
    <xf numFmtId="175" fontId="0" fillId="7" borderId="8" xfId="0" applyNumberFormat="1" applyFill="1" applyBorder="1" applyAlignment="1">
      <alignment horizontal="center"/>
    </xf>
    <xf numFmtId="168" fontId="0" fillId="7" borderId="52" xfId="0" applyNumberFormat="1" applyFill="1" applyBorder="1" applyAlignment="1">
      <alignment horizontal="center"/>
    </xf>
    <xf numFmtId="175" fontId="0" fillId="7" borderId="28" xfId="0" applyNumberFormat="1" applyFill="1" applyBorder="1" applyAlignment="1">
      <alignment horizontal="center"/>
    </xf>
    <xf numFmtId="175" fontId="0" fillId="7" borderId="71" xfId="0" applyNumberFormat="1" applyFill="1" applyBorder="1" applyAlignment="1">
      <alignment horizontal="center"/>
    </xf>
    <xf numFmtId="175" fontId="0" fillId="7" borderId="31" xfId="0" applyNumberFormat="1" applyFill="1" applyBorder="1" applyAlignment="1">
      <alignment horizontal="center"/>
    </xf>
    <xf numFmtId="1" fontId="0" fillId="10" borderId="41" xfId="0" applyNumberFormat="1" applyFill="1" applyBorder="1" applyAlignment="1">
      <alignment horizontal="center"/>
    </xf>
    <xf numFmtId="0" fontId="0" fillId="10" borderId="58" xfId="0" applyFill="1" applyBorder="1" applyAlignment="1">
      <alignment horizontal="center"/>
    </xf>
    <xf numFmtId="0" fontId="0" fillId="10" borderId="42" xfId="0" applyFill="1" applyBorder="1" applyAlignment="1">
      <alignment horizontal="center"/>
    </xf>
    <xf numFmtId="0" fontId="0" fillId="10" borderId="44" xfId="0" applyFill="1" applyBorder="1" applyAlignment="1">
      <alignment horizontal="center"/>
    </xf>
    <xf numFmtId="168" fontId="0" fillId="10" borderId="42" xfId="0" applyNumberFormat="1" applyFill="1" applyBorder="1" applyAlignment="1">
      <alignment horizontal="center"/>
    </xf>
    <xf numFmtId="168" fontId="0" fillId="10" borderId="69" xfId="0" applyNumberFormat="1" applyFill="1" applyBorder="1" applyAlignment="1">
      <alignment horizontal="center"/>
    </xf>
    <xf numFmtId="168" fontId="0" fillId="10" borderId="44" xfId="0" applyNumberFormat="1" applyFill="1" applyBorder="1" applyAlignment="1">
      <alignment horizontal="center"/>
    </xf>
    <xf numFmtId="175" fontId="0" fillId="10" borderId="28" xfId="0" applyNumberFormat="1" applyFill="1" applyBorder="1" applyAlignment="1">
      <alignment horizontal="center"/>
    </xf>
    <xf numFmtId="175" fontId="0" fillId="10" borderId="71" xfId="0" applyNumberFormat="1" applyFill="1" applyBorder="1" applyAlignment="1">
      <alignment horizontal="center"/>
    </xf>
    <xf numFmtId="175" fontId="0" fillId="10" borderId="31" xfId="0" applyNumberFormat="1" applyFill="1" applyBorder="1" applyAlignment="1">
      <alignment horizontal="center"/>
    </xf>
    <xf numFmtId="1" fontId="0" fillId="10" borderId="32" xfId="0" applyNumberFormat="1" applyFill="1" applyBorder="1" applyAlignment="1">
      <alignment horizontal="center"/>
    </xf>
    <xf numFmtId="0" fontId="0" fillId="10" borderId="55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168" fontId="0" fillId="10" borderId="33" xfId="0" applyNumberFormat="1" applyFill="1" applyBorder="1" applyAlignment="1">
      <alignment horizontal="center"/>
    </xf>
    <xf numFmtId="168" fontId="0" fillId="10" borderId="67" xfId="0" applyNumberFormat="1" applyFill="1" applyBorder="1" applyAlignment="1">
      <alignment horizontal="center"/>
    </xf>
    <xf numFmtId="168" fontId="0" fillId="10" borderId="32" xfId="0" applyNumberFormat="1" applyFill="1" applyBorder="1" applyAlignment="1">
      <alignment horizontal="center"/>
    </xf>
    <xf numFmtId="168" fontId="0" fillId="10" borderId="35" xfId="0" applyNumberFormat="1" applyFill="1" applyBorder="1" applyAlignment="1">
      <alignment horizontal="center"/>
    </xf>
    <xf numFmtId="175" fontId="0" fillId="10" borderId="32" xfId="0" applyNumberFormat="1" applyFill="1" applyBorder="1" applyAlignment="1">
      <alignment horizontal="center"/>
    </xf>
    <xf numFmtId="175" fontId="0" fillId="10" borderId="67" xfId="0" applyNumberFormat="1" applyFill="1" applyBorder="1" applyAlignment="1">
      <alignment horizontal="center"/>
    </xf>
    <xf numFmtId="175" fontId="0" fillId="10" borderId="35" xfId="0" applyNumberFormat="1" applyFill="1" applyBorder="1" applyAlignment="1">
      <alignment horizontal="center"/>
    </xf>
    <xf numFmtId="2" fontId="0" fillId="10" borderId="32" xfId="0" applyNumberFormat="1" applyFill="1" applyBorder="1" applyAlignment="1">
      <alignment horizontal="center"/>
    </xf>
    <xf numFmtId="1" fontId="0" fillId="10" borderId="67" xfId="0" applyNumberFormat="1" applyFill="1" applyBorder="1" applyAlignment="1">
      <alignment horizontal="center"/>
    </xf>
    <xf numFmtId="1" fontId="0" fillId="10" borderId="33" xfId="0" applyNumberFormat="1" applyFill="1" applyBorder="1" applyAlignment="1">
      <alignment horizontal="center"/>
    </xf>
    <xf numFmtId="1" fontId="0" fillId="10" borderId="36" xfId="0" applyNumberFormat="1" applyFill="1" applyBorder="1" applyAlignment="1">
      <alignment horizontal="center"/>
    </xf>
    <xf numFmtId="0" fontId="0" fillId="10" borderId="57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0" fillId="10" borderId="39" xfId="0" applyFill="1" applyBorder="1" applyAlignment="1">
      <alignment horizontal="center"/>
    </xf>
    <xf numFmtId="168" fontId="0" fillId="10" borderId="37" xfId="0" applyNumberFormat="1" applyFill="1" applyBorder="1" applyAlignment="1">
      <alignment horizontal="center"/>
    </xf>
    <xf numFmtId="2" fontId="0" fillId="10" borderId="37" xfId="0" applyNumberFormat="1" applyFill="1" applyBorder="1" applyAlignment="1">
      <alignment horizontal="center"/>
    </xf>
    <xf numFmtId="168" fontId="0" fillId="10" borderId="36" xfId="0" applyNumberFormat="1" applyFill="1" applyBorder="1" applyAlignment="1">
      <alignment horizontal="center"/>
    </xf>
    <xf numFmtId="175" fontId="0" fillId="10" borderId="6" xfId="0" applyNumberFormat="1" applyFill="1" applyBorder="1" applyAlignment="1">
      <alignment horizontal="center"/>
    </xf>
    <xf numFmtId="175" fontId="0" fillId="10" borderId="72" xfId="0" applyNumberFormat="1" applyFill="1" applyBorder="1" applyAlignment="1">
      <alignment horizontal="center"/>
    </xf>
    <xf numFmtId="175" fontId="0" fillId="10" borderId="8" xfId="0" applyNumberFormat="1" applyFill="1" applyBorder="1" applyAlignment="1">
      <alignment horizontal="center"/>
    </xf>
    <xf numFmtId="2" fontId="0" fillId="9" borderId="41" xfId="0" applyNumberFormat="1" applyFill="1" applyBorder="1" applyAlignment="1">
      <alignment horizontal="center"/>
    </xf>
    <xf numFmtId="0" fontId="0" fillId="9" borderId="40" xfId="0" applyFill="1" applyBorder="1" applyAlignment="1">
      <alignment horizontal="center"/>
    </xf>
    <xf numFmtId="0" fontId="0" fillId="9" borderId="46" xfId="0" applyFill="1" applyBorder="1" applyAlignment="1">
      <alignment horizontal="center"/>
    </xf>
    <xf numFmtId="0" fontId="0" fillId="9" borderId="58" xfId="0" applyFill="1" applyBorder="1" applyAlignment="1">
      <alignment horizontal="center"/>
    </xf>
    <xf numFmtId="0" fontId="0" fillId="9" borderId="42" xfId="0" applyFill="1" applyBorder="1" applyAlignment="1">
      <alignment horizontal="center"/>
    </xf>
    <xf numFmtId="1" fontId="0" fillId="9" borderId="43" xfId="0" applyNumberFormat="1" applyFill="1" applyBorder="1" applyAlignment="1">
      <alignment horizontal="center"/>
    </xf>
    <xf numFmtId="2" fontId="0" fillId="9" borderId="44" xfId="0" applyNumberFormat="1" applyFill="1" applyBorder="1" applyAlignment="1">
      <alignment horizontal="center"/>
    </xf>
    <xf numFmtId="1" fontId="0" fillId="9" borderId="41" xfId="0" applyNumberFormat="1" applyFill="1" applyBorder="1" applyAlignment="1">
      <alignment horizontal="center"/>
    </xf>
    <xf numFmtId="0" fontId="0" fillId="9" borderId="44" xfId="0" applyFill="1" applyBorder="1" applyAlignment="1">
      <alignment horizontal="center"/>
    </xf>
    <xf numFmtId="2" fontId="0" fillId="9" borderId="42" xfId="0" applyNumberFormat="1" applyFill="1" applyBorder="1" applyAlignment="1">
      <alignment horizontal="center"/>
    </xf>
    <xf numFmtId="169" fontId="0" fillId="9" borderId="42" xfId="0" applyNumberFormat="1" applyFill="1" applyBorder="1" applyAlignment="1">
      <alignment horizontal="center"/>
    </xf>
    <xf numFmtId="175" fontId="0" fillId="9" borderId="42" xfId="0" applyNumberFormat="1" applyFill="1" applyBorder="1" applyAlignment="1">
      <alignment horizontal="center"/>
    </xf>
    <xf numFmtId="164" fontId="0" fillId="9" borderId="34" xfId="0" applyNumberFormat="1" applyFill="1" applyBorder="1" applyAlignment="1">
      <alignment horizontal="center"/>
    </xf>
    <xf numFmtId="172" fontId="0" fillId="9" borderId="33" xfId="0" applyNumberFormat="1" applyFill="1" applyBorder="1" applyAlignment="1">
      <alignment horizontal="center"/>
    </xf>
    <xf numFmtId="171" fontId="0" fillId="9" borderId="33" xfId="0" applyNumberFormat="1" applyFill="1" applyBorder="1" applyAlignment="1">
      <alignment horizontal="center"/>
    </xf>
    <xf numFmtId="169" fontId="0" fillId="9" borderId="33" xfId="0" applyNumberFormat="1" applyFill="1" applyBorder="1" applyAlignment="1">
      <alignment horizontal="center"/>
    </xf>
    <xf numFmtId="176" fontId="0" fillId="9" borderId="33" xfId="0" applyNumberFormat="1" applyFill="1" applyBorder="1" applyAlignment="1">
      <alignment horizontal="center"/>
    </xf>
    <xf numFmtId="180" fontId="0" fillId="9" borderId="33" xfId="0" applyNumberFormat="1" applyFill="1" applyBorder="1" applyAlignment="1">
      <alignment horizontal="center"/>
    </xf>
    <xf numFmtId="2" fontId="0" fillId="9" borderId="36" xfId="0" applyNumberFormat="1" applyFill="1" applyBorder="1" applyAlignment="1">
      <alignment horizontal="center"/>
    </xf>
    <xf numFmtId="2" fontId="0" fillId="9" borderId="39" xfId="0" applyNumberFormat="1" applyFill="1" applyBorder="1" applyAlignment="1">
      <alignment horizontal="center"/>
    </xf>
    <xf numFmtId="0" fontId="0" fillId="9" borderId="6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175" fontId="0" fillId="9" borderId="0" xfId="0" applyNumberForma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168" fontId="0" fillId="9" borderId="4" xfId="0" applyNumberFormat="1" applyFill="1" applyBorder="1" applyAlignment="1">
      <alignment horizontal="center"/>
    </xf>
    <xf numFmtId="2" fontId="0" fillId="9" borderId="5" xfId="0" applyNumberFormat="1" applyFill="1" applyBorder="1" applyAlignment="1">
      <alignment horizontal="center"/>
    </xf>
    <xf numFmtId="175" fontId="0" fillId="9" borderId="16" xfId="0" applyNumberFormat="1" applyFill="1" applyBorder="1" applyAlignment="1">
      <alignment horizontal="center"/>
    </xf>
    <xf numFmtId="168" fontId="0" fillId="9" borderId="75" xfId="0" applyNumberFormat="1" applyFill="1" applyBorder="1" applyAlignment="1">
      <alignment horizontal="center"/>
    </xf>
    <xf numFmtId="172" fontId="0" fillId="8" borderId="32" xfId="0" applyNumberFormat="1" applyFill="1" applyBorder="1" applyAlignment="1">
      <alignment horizontal="center"/>
    </xf>
    <xf numFmtId="0" fontId="0" fillId="8" borderId="64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175" fontId="0" fillId="8" borderId="33" xfId="0" applyNumberFormat="1" applyFill="1" applyBorder="1" applyAlignment="1">
      <alignment horizontal="center"/>
    </xf>
    <xf numFmtId="175" fontId="0" fillId="8" borderId="103" xfId="0" applyNumberFormat="1" applyFill="1" applyBorder="1" applyAlignment="1">
      <alignment horizontal="center"/>
    </xf>
    <xf numFmtId="175" fontId="0" fillId="8" borderId="65" xfId="0" applyNumberFormat="1" applyFill="1" applyBorder="1" applyAlignment="1">
      <alignment horizontal="center"/>
    </xf>
    <xf numFmtId="172" fontId="0" fillId="8" borderId="67" xfId="0" applyNumberFormat="1" applyFill="1" applyBorder="1" applyAlignment="1">
      <alignment horizontal="center"/>
    </xf>
    <xf numFmtId="0" fontId="0" fillId="10" borderId="67" xfId="0" applyFill="1" applyBorder="1" applyAlignment="1">
      <alignment horizontal="center"/>
    </xf>
    <xf numFmtId="172" fontId="0" fillId="7" borderId="44" xfId="0" applyNumberFormat="1" applyFill="1" applyBorder="1" applyAlignment="1">
      <alignment horizontal="center"/>
    </xf>
    <xf numFmtId="166" fontId="0" fillId="7" borderId="42" xfId="0" applyNumberFormat="1" applyFill="1" applyBorder="1" applyAlignment="1">
      <alignment horizontal="center"/>
    </xf>
    <xf numFmtId="166" fontId="0" fillId="7" borderId="33" xfId="0" applyNumberFormat="1" applyFill="1" applyBorder="1" applyAlignment="1">
      <alignment horizontal="center"/>
    </xf>
    <xf numFmtId="169" fontId="0" fillId="7" borderId="35" xfId="0" applyNumberFormat="1" applyFill="1" applyBorder="1" applyAlignment="1">
      <alignment horizontal="center"/>
    </xf>
    <xf numFmtId="172" fontId="0" fillId="7" borderId="36" xfId="0" applyNumberFormat="1" applyFill="1" applyBorder="1" applyAlignment="1">
      <alignment horizontal="center"/>
    </xf>
    <xf numFmtId="168" fontId="0" fillId="7" borderId="41" xfId="0" applyNumberFormat="1" applyFill="1" applyBorder="1" applyAlignment="1">
      <alignment horizontal="center"/>
    </xf>
    <xf numFmtId="168" fontId="0" fillId="7" borderId="44" xfId="0" applyNumberFormat="1" applyFill="1" applyBorder="1" applyAlignment="1">
      <alignment horizontal="center"/>
    </xf>
    <xf numFmtId="168" fontId="0" fillId="7" borderId="42" xfId="0" applyNumberFormat="1" applyFill="1" applyBorder="1" applyAlignment="1">
      <alignment horizontal="center"/>
    </xf>
    <xf numFmtId="175" fontId="0" fillId="7" borderId="1" xfId="0" applyNumberFormat="1" applyFill="1" applyBorder="1" applyAlignment="1">
      <alignment horizontal="center"/>
    </xf>
    <xf numFmtId="164" fontId="0" fillId="7" borderId="34" xfId="0" applyNumberFormat="1" applyFill="1" applyBorder="1" applyAlignment="1">
      <alignment horizontal="center"/>
    </xf>
    <xf numFmtId="170" fontId="0" fillId="7" borderId="33" xfId="0" applyNumberFormat="1" applyFill="1" applyBorder="1" applyAlignment="1">
      <alignment horizontal="center"/>
    </xf>
    <xf numFmtId="168" fontId="0" fillId="7" borderId="39" xfId="0" applyNumberFormat="1" applyFill="1" applyBorder="1" applyAlignment="1">
      <alignment horizontal="center"/>
    </xf>
    <xf numFmtId="171" fontId="0" fillId="7" borderId="32" xfId="0" applyNumberFormat="1" applyFill="1" applyBorder="1" applyAlignment="1">
      <alignment horizontal="center"/>
    </xf>
    <xf numFmtId="171" fontId="0" fillId="7" borderId="35" xfId="0" applyNumberFormat="1" applyFill="1" applyBorder="1" applyAlignment="1">
      <alignment horizontal="center"/>
    </xf>
    <xf numFmtId="171" fontId="0" fillId="7" borderId="39" xfId="0" applyNumberFormat="1" applyFill="1" applyBorder="1" applyAlignment="1">
      <alignment horizontal="center"/>
    </xf>
    <xf numFmtId="0" fontId="0" fillId="7" borderId="56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177" fontId="7" fillId="13" borderId="129" xfId="1" applyFill="1" applyBorder="1" applyAlignment="1">
      <alignment horizontal="center"/>
    </xf>
    <xf numFmtId="177" fontId="7" fillId="13" borderId="130" xfId="1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169" fontId="0" fillId="7" borderId="32" xfId="0" applyNumberFormat="1" applyFill="1" applyBorder="1" applyAlignment="1">
      <alignment horizontal="center"/>
    </xf>
    <xf numFmtId="171" fontId="7" fillId="13" borderId="133" xfId="1" applyNumberFormat="1" applyFill="1" applyBorder="1" applyAlignment="1">
      <alignment horizontal="center"/>
    </xf>
    <xf numFmtId="175" fontId="0" fillId="7" borderId="0" xfId="0" applyNumberFormat="1" applyFill="1" applyBorder="1" applyAlignment="1">
      <alignment horizontal="center"/>
    </xf>
    <xf numFmtId="169" fontId="0" fillId="7" borderId="42" xfId="0" applyNumberFormat="1" applyFill="1" applyBorder="1" applyAlignment="1">
      <alignment horizontal="center"/>
    </xf>
    <xf numFmtId="175" fontId="0" fillId="7" borderId="42" xfId="0" applyNumberFormat="1" applyFill="1" applyBorder="1" applyAlignment="1">
      <alignment horizontal="center"/>
    </xf>
    <xf numFmtId="171" fontId="0" fillId="7" borderId="33" xfId="0" applyNumberFormat="1" applyFill="1" applyBorder="1" applyAlignment="1">
      <alignment horizontal="center"/>
    </xf>
    <xf numFmtId="2" fontId="0" fillId="7" borderId="38" xfId="0" applyNumberFormat="1" applyFill="1" applyBorder="1" applyAlignment="1">
      <alignment horizontal="center"/>
    </xf>
    <xf numFmtId="1" fontId="0" fillId="7" borderId="37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175" fontId="0" fillId="7" borderId="4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" fontId="0" fillId="7" borderId="4" xfId="0" applyNumberFormat="1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7" borderId="69" xfId="0" applyFill="1" applyBorder="1" applyAlignment="1">
      <alignment horizontal="center"/>
    </xf>
    <xf numFmtId="175" fontId="0" fillId="7" borderId="73" xfId="0" applyNumberFormat="1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7" borderId="68" xfId="0" applyFill="1" applyBorder="1" applyAlignment="1">
      <alignment horizontal="center"/>
    </xf>
    <xf numFmtId="0" fontId="0" fillId="7" borderId="90" xfId="0" applyFill="1" applyBorder="1" applyAlignment="1">
      <alignment horizontal="center"/>
    </xf>
    <xf numFmtId="175" fontId="0" fillId="7" borderId="77" xfId="0" applyNumberFormat="1" applyFill="1" applyBorder="1" applyAlignment="1">
      <alignment horizontal="center"/>
    </xf>
    <xf numFmtId="0" fontId="5" fillId="7" borderId="55" xfId="0" applyFont="1" applyFill="1" applyBorder="1" applyAlignment="1">
      <alignment horizontal="center"/>
    </xf>
    <xf numFmtId="175" fontId="0" fillId="7" borderId="2" xfId="0" applyNumberForma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5" xfId="0" applyFill="1" applyBorder="1" applyAlignment="1">
      <alignment horizontal="center"/>
    </xf>
    <xf numFmtId="168" fontId="0" fillId="7" borderId="69" xfId="0" applyNumberFormat="1" applyFill="1" applyBorder="1" applyAlignment="1">
      <alignment horizontal="center"/>
    </xf>
    <xf numFmtId="2" fontId="0" fillId="7" borderId="28" xfId="0" applyNumberFormat="1" applyFill="1" applyBorder="1" applyAlignment="1">
      <alignment horizontal="center"/>
    </xf>
    <xf numFmtId="175" fontId="0" fillId="7" borderId="29" xfId="0" applyNumberFormat="1" applyFill="1" applyBorder="1" applyAlignment="1">
      <alignment horizontal="center"/>
    </xf>
    <xf numFmtId="0" fontId="0" fillId="7" borderId="101" xfId="0" applyFill="1" applyBorder="1" applyAlignment="1">
      <alignment horizontal="center"/>
    </xf>
    <xf numFmtId="0" fontId="0" fillId="7" borderId="64" xfId="0" applyFill="1" applyBorder="1" applyAlignment="1">
      <alignment horizontal="center"/>
    </xf>
    <xf numFmtId="1" fontId="0" fillId="7" borderId="5" xfId="0" applyNumberFormat="1" applyFill="1" applyBorder="1" applyAlignment="1">
      <alignment horizontal="center"/>
    </xf>
    <xf numFmtId="0" fontId="0" fillId="7" borderId="104" xfId="0" applyFill="1" applyBorder="1" applyAlignment="1">
      <alignment horizontal="center"/>
    </xf>
    <xf numFmtId="175" fontId="0" fillId="7" borderId="106" xfId="0" applyNumberFormat="1" applyFill="1" applyBorder="1" applyAlignment="1">
      <alignment horizontal="center"/>
    </xf>
    <xf numFmtId="0" fontId="0" fillId="7" borderId="109" xfId="0" applyFill="1" applyBorder="1" applyAlignment="1">
      <alignment horizontal="center"/>
    </xf>
    <xf numFmtId="0" fontId="0" fillId="7" borderId="110" xfId="0" applyFill="1" applyBorder="1" applyAlignment="1">
      <alignment horizontal="center"/>
    </xf>
    <xf numFmtId="175" fontId="0" fillId="7" borderId="33" xfId="0" applyNumberFormat="1" applyFill="1" applyBorder="1" applyAlignment="1">
      <alignment horizontal="center"/>
    </xf>
    <xf numFmtId="175" fontId="0" fillId="7" borderId="110" xfId="0" applyNumberFormat="1" applyFill="1" applyBorder="1" applyAlignment="1">
      <alignment horizontal="center"/>
    </xf>
    <xf numFmtId="1" fontId="0" fillId="7" borderId="8" xfId="0" applyNumberFormat="1" applyFill="1" applyBorder="1" applyAlignment="1">
      <alignment horizontal="center"/>
    </xf>
    <xf numFmtId="0" fontId="0" fillId="7" borderId="108" xfId="0" applyFill="1" applyBorder="1" applyAlignment="1">
      <alignment horizontal="center"/>
    </xf>
    <xf numFmtId="0" fontId="0" fillId="7" borderId="107" xfId="0" applyFill="1" applyBorder="1" applyAlignment="1">
      <alignment horizontal="center"/>
    </xf>
    <xf numFmtId="175" fontId="0" fillId="7" borderId="7" xfId="0" applyNumberFormat="1" applyFill="1" applyBorder="1" applyAlignment="1">
      <alignment horizontal="center"/>
    </xf>
    <xf numFmtId="175" fontId="0" fillId="7" borderId="107" xfId="0" applyNumberFormat="1" applyFill="1" applyBorder="1" applyAlignment="1">
      <alignment horizontal="center"/>
    </xf>
    <xf numFmtId="175" fontId="0" fillId="7" borderId="75" xfId="0" applyNumberFormat="1" applyFill="1" applyBorder="1" applyAlignment="1">
      <alignment horizontal="center"/>
    </xf>
    <xf numFmtId="175" fontId="0" fillId="7" borderId="5" xfId="0" applyNumberFormat="1" applyFill="1" applyBorder="1" applyAlignment="1">
      <alignment horizontal="center"/>
    </xf>
    <xf numFmtId="175" fontId="0" fillId="7" borderId="3" xfId="0" applyNumberFormat="1" applyFill="1" applyBorder="1" applyAlignment="1">
      <alignment horizontal="center"/>
    </xf>
    <xf numFmtId="0" fontId="0" fillId="7" borderId="124" xfId="0" applyFill="1" applyBorder="1" applyAlignment="1">
      <alignment horizontal="center"/>
    </xf>
    <xf numFmtId="0" fontId="0" fillId="7" borderId="125" xfId="0" applyFill="1" applyBorder="1" applyAlignment="1">
      <alignment horizontal="center"/>
    </xf>
    <xf numFmtId="175" fontId="0" fillId="7" borderId="124" xfId="0" applyNumberFormat="1" applyFill="1" applyBorder="1" applyAlignment="1">
      <alignment horizontal="center"/>
    </xf>
    <xf numFmtId="0" fontId="0" fillId="7" borderId="112" xfId="0" applyFill="1" applyBorder="1" applyAlignment="1">
      <alignment horizontal="center"/>
    </xf>
    <xf numFmtId="0" fontId="0" fillId="7" borderId="116" xfId="0" applyFill="1" applyBorder="1" applyAlignment="1">
      <alignment horizontal="center"/>
    </xf>
    <xf numFmtId="175" fontId="0" fillId="7" borderId="112" xfId="0" applyNumberFormat="1" applyFill="1" applyBorder="1" applyAlignment="1">
      <alignment horizontal="center"/>
    </xf>
    <xf numFmtId="164" fontId="0" fillId="10" borderId="43" xfId="0" applyNumberFormat="1" applyFill="1" applyBorder="1" applyAlignment="1">
      <alignment horizontal="center"/>
    </xf>
    <xf numFmtId="172" fontId="0" fillId="10" borderId="41" xfId="0" applyNumberFormat="1" applyFill="1" applyBorder="1" applyAlignment="1">
      <alignment horizontal="center"/>
    </xf>
    <xf numFmtId="166" fontId="0" fillId="10" borderId="44" xfId="0" applyNumberFormat="1" applyFill="1" applyBorder="1" applyAlignment="1">
      <alignment horizontal="center"/>
    </xf>
    <xf numFmtId="172" fontId="0" fillId="10" borderId="42" xfId="0" applyNumberFormat="1" applyFill="1" applyBorder="1" applyAlignment="1">
      <alignment horizontal="center"/>
    </xf>
    <xf numFmtId="1" fontId="0" fillId="10" borderId="34" xfId="0" applyNumberFormat="1" applyFill="1" applyBorder="1" applyAlignment="1">
      <alignment horizontal="center"/>
    </xf>
    <xf numFmtId="172" fontId="0" fillId="10" borderId="35" xfId="0" applyNumberFormat="1" applyFill="1" applyBorder="1" applyAlignment="1">
      <alignment horizontal="center"/>
    </xf>
    <xf numFmtId="2" fontId="0" fillId="10" borderId="33" xfId="0" applyNumberFormat="1" applyFill="1" applyBorder="1" applyAlignment="1">
      <alignment horizontal="center"/>
    </xf>
    <xf numFmtId="172" fontId="0" fillId="10" borderId="33" xfId="0" applyNumberFormat="1" applyFill="1" applyBorder="1" applyAlignment="1">
      <alignment horizontal="center"/>
    </xf>
    <xf numFmtId="172" fontId="0" fillId="10" borderId="32" xfId="0" applyNumberFormat="1" applyFill="1" applyBorder="1" applyAlignment="1">
      <alignment horizontal="center"/>
    </xf>
    <xf numFmtId="169" fontId="0" fillId="10" borderId="33" xfId="0" applyNumberFormat="1" applyFill="1" applyBorder="1" applyAlignment="1">
      <alignment horizontal="center"/>
    </xf>
    <xf numFmtId="2" fontId="0" fillId="10" borderId="35" xfId="0" applyNumberFormat="1" applyFill="1" applyBorder="1" applyAlignment="1">
      <alignment horizontal="center"/>
    </xf>
    <xf numFmtId="0" fontId="0" fillId="10" borderId="50" xfId="0" applyFill="1" applyBorder="1" applyAlignment="1">
      <alignment horizontal="center"/>
    </xf>
    <xf numFmtId="1" fontId="0" fillId="10" borderId="38" xfId="0" applyNumberFormat="1" applyFill="1" applyBorder="1" applyAlignment="1">
      <alignment horizontal="center"/>
    </xf>
    <xf numFmtId="169" fontId="0" fillId="10" borderId="36" xfId="0" applyNumberFormat="1" applyFill="1" applyBorder="1" applyAlignment="1">
      <alignment horizontal="center"/>
    </xf>
    <xf numFmtId="172" fontId="0" fillId="10" borderId="39" xfId="0" applyNumberFormat="1" applyFill="1" applyBorder="1" applyAlignment="1">
      <alignment horizontal="center"/>
    </xf>
    <xf numFmtId="172" fontId="0" fillId="10" borderId="37" xfId="0" applyNumberFormat="1" applyFill="1" applyBorder="1" applyAlignment="1">
      <alignment horizontal="center"/>
    </xf>
    <xf numFmtId="1" fontId="0" fillId="10" borderId="43" xfId="0" applyNumberFormat="1" applyFill="1" applyBorder="1" applyAlignment="1">
      <alignment horizontal="center"/>
    </xf>
    <xf numFmtId="2" fontId="0" fillId="10" borderId="41" xfId="0" applyNumberFormat="1" applyFill="1" applyBorder="1" applyAlignment="1">
      <alignment horizontal="center"/>
    </xf>
    <xf numFmtId="2" fontId="0" fillId="10" borderId="44" xfId="0" applyNumberFormat="1" applyFill="1" applyBorder="1" applyAlignment="1">
      <alignment horizontal="center"/>
    </xf>
    <xf numFmtId="2" fontId="0" fillId="10" borderId="42" xfId="0" applyNumberFormat="1" applyFill="1" applyBorder="1" applyAlignment="1">
      <alignment horizontal="center"/>
    </xf>
    <xf numFmtId="175" fontId="0" fillId="10" borderId="1" xfId="0" applyNumberFormat="1" applyFill="1" applyBorder="1" applyAlignment="1">
      <alignment horizontal="center"/>
    </xf>
    <xf numFmtId="167" fontId="0" fillId="10" borderId="32" xfId="0" applyNumberFormat="1" applyFill="1" applyBorder="1" applyAlignment="1">
      <alignment horizontal="center"/>
    </xf>
    <xf numFmtId="167" fontId="0" fillId="10" borderId="35" xfId="0" applyNumberFormat="1" applyFill="1" applyBorder="1" applyAlignment="1">
      <alignment horizontal="center"/>
    </xf>
    <xf numFmtId="167" fontId="0" fillId="10" borderId="33" xfId="0" applyNumberFormat="1" applyFill="1" applyBorder="1" applyAlignment="1">
      <alignment horizontal="center"/>
    </xf>
    <xf numFmtId="170" fontId="0" fillId="10" borderId="32" xfId="0" applyNumberFormat="1" applyFill="1" applyBorder="1" applyAlignment="1">
      <alignment horizontal="center"/>
    </xf>
    <xf numFmtId="2" fontId="0" fillId="10" borderId="36" xfId="0" applyNumberFormat="1" applyFill="1" applyBorder="1" applyAlignment="1">
      <alignment horizontal="center"/>
    </xf>
    <xf numFmtId="167" fontId="0" fillId="10" borderId="37" xfId="0" applyNumberFormat="1" applyFill="1" applyBorder="1" applyAlignment="1">
      <alignment horizontal="center"/>
    </xf>
    <xf numFmtId="164" fontId="0" fillId="10" borderId="41" xfId="0" applyNumberFormat="1" applyFill="1" applyBorder="1" applyAlignment="1">
      <alignment horizontal="center"/>
    </xf>
    <xf numFmtId="164" fontId="0" fillId="10" borderId="44" xfId="0" applyNumberFormat="1" applyFill="1" applyBorder="1" applyAlignment="1">
      <alignment horizontal="center"/>
    </xf>
    <xf numFmtId="164" fontId="0" fillId="10" borderId="32" xfId="0" applyNumberFormat="1" applyFill="1" applyBorder="1" applyAlignment="1">
      <alignment horizontal="center"/>
    </xf>
    <xf numFmtId="164" fontId="0" fillId="10" borderId="36" xfId="0" applyNumberFormat="1" applyFill="1" applyBorder="1" applyAlignment="1">
      <alignment horizontal="center"/>
    </xf>
    <xf numFmtId="2" fontId="0" fillId="10" borderId="39" xfId="0" applyNumberFormat="1" applyFill="1" applyBorder="1" applyAlignment="1">
      <alignment horizontal="center"/>
    </xf>
    <xf numFmtId="1" fontId="0" fillId="10" borderId="28" xfId="0" applyNumberFormat="1" applyFill="1" applyBorder="1" applyAlignment="1">
      <alignment horizontal="center"/>
    </xf>
    <xf numFmtId="0" fontId="0" fillId="10" borderId="54" xfId="0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1" fontId="0" fillId="10" borderId="30" xfId="0" applyNumberFormat="1" applyFill="1" applyBorder="1" applyAlignment="1">
      <alignment horizontal="center"/>
    </xf>
    <xf numFmtId="2" fontId="0" fillId="10" borderId="28" xfId="0" applyNumberFormat="1" applyFill="1" applyBorder="1" applyAlignment="1">
      <alignment horizontal="center"/>
    </xf>
    <xf numFmtId="2" fontId="0" fillId="10" borderId="31" xfId="0" applyNumberFormat="1" applyFill="1" applyBorder="1" applyAlignment="1">
      <alignment horizontal="center"/>
    </xf>
    <xf numFmtId="177" fontId="7" fillId="15" borderId="129" xfId="1" applyFill="1" applyBorder="1" applyAlignment="1">
      <alignment horizontal="center"/>
    </xf>
    <xf numFmtId="177" fontId="7" fillId="15" borderId="130" xfId="1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169" fontId="0" fillId="10" borderId="32" xfId="0" applyNumberFormat="1" applyFill="1" applyBorder="1" applyAlignment="1">
      <alignment horizontal="center"/>
    </xf>
    <xf numFmtId="169" fontId="0" fillId="10" borderId="35" xfId="0" applyNumberFormat="1" applyFill="1" applyBorder="1" applyAlignment="1">
      <alignment horizontal="center"/>
    </xf>
    <xf numFmtId="2" fontId="0" fillId="10" borderId="29" xfId="0" applyNumberFormat="1" applyFill="1" applyBorder="1" applyAlignment="1">
      <alignment horizontal="center"/>
    </xf>
    <xf numFmtId="169" fontId="0" fillId="10" borderId="29" xfId="0" applyNumberFormat="1" applyFill="1" applyBorder="1" applyAlignment="1">
      <alignment horizontal="center"/>
    </xf>
    <xf numFmtId="175" fontId="0" fillId="10" borderId="42" xfId="0" applyNumberFormat="1" applyFill="1" applyBorder="1" applyAlignment="1">
      <alignment horizontal="center"/>
    </xf>
    <xf numFmtId="164" fontId="0" fillId="10" borderId="33" xfId="0" applyNumberFormat="1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6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2" fontId="0" fillId="10" borderId="6" xfId="0" applyNumberFormat="1" applyFill="1" applyBorder="1" applyAlignment="1">
      <alignment horizontal="center"/>
    </xf>
    <xf numFmtId="2" fontId="0" fillId="10" borderId="8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59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64" xfId="0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1" fontId="0" fillId="10" borderId="6" xfId="0" applyNumberFormat="1" applyFill="1" applyBorder="1" applyAlignment="1">
      <alignment horizontal="center"/>
    </xf>
    <xf numFmtId="0" fontId="0" fillId="10" borderId="41" xfId="0" applyFill="1" applyBorder="1" applyAlignment="1">
      <alignment horizontal="center"/>
    </xf>
    <xf numFmtId="0" fontId="0" fillId="10" borderId="69" xfId="0" applyFill="1" applyBorder="1" applyAlignment="1">
      <alignment horizontal="center"/>
    </xf>
    <xf numFmtId="0" fontId="0" fillId="10" borderId="45" xfId="0" applyFill="1" applyBorder="1" applyAlignment="1">
      <alignment horizontal="center"/>
    </xf>
    <xf numFmtId="0" fontId="0" fillId="10" borderId="68" xfId="0" applyFill="1" applyBorder="1" applyAlignment="1">
      <alignment horizontal="center"/>
    </xf>
    <xf numFmtId="0" fontId="0" fillId="10" borderId="40" xfId="0" applyFill="1" applyBorder="1" applyAlignment="1">
      <alignment horizontal="center"/>
    </xf>
    <xf numFmtId="0" fontId="0" fillId="10" borderId="46" xfId="0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0" fillId="10" borderId="71" xfId="0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0" fontId="0" fillId="10" borderId="70" xfId="0" applyFill="1" applyBorder="1" applyAlignment="1">
      <alignment horizontal="center"/>
    </xf>
    <xf numFmtId="175" fontId="0" fillId="10" borderId="73" xfId="0" applyNumberFormat="1" applyFill="1" applyBorder="1" applyAlignment="1">
      <alignment horizontal="center"/>
    </xf>
    <xf numFmtId="0" fontId="5" fillId="10" borderId="55" xfId="0" applyFont="1" applyFill="1" applyBorder="1" applyAlignment="1">
      <alignment horizontal="center"/>
    </xf>
    <xf numFmtId="0" fontId="0" fillId="10" borderId="90" xfId="0" applyFill="1" applyBorder="1" applyAlignment="1">
      <alignment horizontal="center"/>
    </xf>
    <xf numFmtId="0" fontId="0" fillId="10" borderId="66" xfId="0" applyFill="1" applyBorder="1" applyAlignment="1">
      <alignment horizontal="center"/>
    </xf>
    <xf numFmtId="0" fontId="0" fillId="10" borderId="72" xfId="0" applyFill="1" applyBorder="1" applyAlignment="1">
      <alignment horizontal="center"/>
    </xf>
    <xf numFmtId="168" fontId="0" fillId="10" borderId="29" xfId="0" applyNumberFormat="1" applyFill="1" applyBorder="1" applyAlignment="1">
      <alignment horizontal="center"/>
    </xf>
    <xf numFmtId="1" fontId="0" fillId="10" borderId="31" xfId="0" applyNumberFormat="1" applyFill="1" applyBorder="1" applyAlignment="1">
      <alignment horizontal="center"/>
    </xf>
    <xf numFmtId="1" fontId="0" fillId="10" borderId="35" xfId="0" applyNumberFormat="1" applyFill="1" applyBorder="1" applyAlignment="1">
      <alignment horizontal="center"/>
    </xf>
    <xf numFmtId="1" fontId="0" fillId="10" borderId="8" xfId="0" applyNumberFormat="1" applyFill="1" applyBorder="1" applyAlignment="1">
      <alignment horizontal="center"/>
    </xf>
    <xf numFmtId="0" fontId="0" fillId="10" borderId="73" xfId="0" applyFill="1" applyBorder="1" applyAlignment="1">
      <alignment horizontal="center"/>
    </xf>
    <xf numFmtId="164" fontId="0" fillId="10" borderId="30" xfId="0" applyNumberFormat="1" applyFill="1" applyBorder="1" applyAlignment="1">
      <alignment horizontal="center"/>
    </xf>
    <xf numFmtId="0" fontId="0" fillId="10" borderId="101" xfId="0" applyFill="1" applyBorder="1" applyAlignment="1">
      <alignment horizontal="center"/>
    </xf>
    <xf numFmtId="0" fontId="0" fillId="10" borderId="102" xfId="0" applyFill="1" applyBorder="1" applyAlignment="1">
      <alignment horizontal="center"/>
    </xf>
    <xf numFmtId="175" fontId="0" fillId="10" borderId="36" xfId="0" applyNumberFormat="1" applyFill="1" applyBorder="1" applyAlignment="1">
      <alignment horizontal="center"/>
    </xf>
    <xf numFmtId="175" fontId="0" fillId="10" borderId="70" xfId="0" applyNumberFormat="1" applyFill="1" applyBorder="1" applyAlignment="1">
      <alignment horizontal="center"/>
    </xf>
    <xf numFmtId="175" fontId="0" fillId="10" borderId="39" xfId="0" applyNumberFormat="1" applyFill="1" applyBorder="1" applyAlignment="1">
      <alignment horizontal="center"/>
    </xf>
    <xf numFmtId="0" fontId="0" fillId="10" borderId="56" xfId="0" applyFill="1" applyBorder="1" applyAlignment="1">
      <alignment horizontal="center"/>
    </xf>
    <xf numFmtId="168" fontId="0" fillId="10" borderId="28" xfId="0" applyNumberFormat="1" applyFill="1" applyBorder="1" applyAlignment="1">
      <alignment horizontal="center"/>
    </xf>
    <xf numFmtId="166" fontId="0" fillId="10" borderId="31" xfId="0" applyNumberFormat="1" applyFill="1" applyBorder="1" applyAlignment="1">
      <alignment horizontal="center"/>
    </xf>
    <xf numFmtId="1" fontId="0" fillId="10" borderId="10" xfId="0" applyNumberFormat="1" applyFill="1" applyBorder="1" applyAlignment="1">
      <alignment horizontal="center"/>
    </xf>
    <xf numFmtId="168" fontId="0" fillId="10" borderId="6" xfId="0" applyNumberFormat="1" applyFill="1" applyBorder="1" applyAlignment="1">
      <alignment horizontal="center"/>
    </xf>
    <xf numFmtId="168" fontId="0" fillId="10" borderId="72" xfId="0" applyNumberFormat="1" applyFill="1" applyBorder="1" applyAlignment="1">
      <alignment horizontal="center"/>
    </xf>
    <xf numFmtId="1" fontId="0" fillId="10" borderId="72" xfId="0" applyNumberFormat="1" applyFill="1" applyBorder="1" applyAlignment="1">
      <alignment horizontal="center"/>
    </xf>
    <xf numFmtId="166" fontId="0" fillId="10" borderId="107" xfId="0" applyNumberFormat="1" applyFill="1" applyBorder="1" applyAlignment="1">
      <alignment horizontal="center"/>
    </xf>
    <xf numFmtId="175" fontId="0" fillId="10" borderId="126" xfId="0" applyNumberFormat="1" applyFill="1" applyBorder="1" applyAlignment="1">
      <alignment horizontal="center"/>
    </xf>
    <xf numFmtId="173" fontId="0" fillId="7" borderId="41" xfId="0" applyNumberFormat="1" applyFill="1" applyBorder="1" applyAlignment="1">
      <alignment horizontal="center"/>
    </xf>
    <xf numFmtId="171" fontId="0" fillId="7" borderId="69" xfId="0" applyNumberFormat="1" applyFill="1" applyBorder="1" applyAlignment="1">
      <alignment horizontal="center"/>
    </xf>
    <xf numFmtId="171" fontId="0" fillId="7" borderId="44" xfId="0" applyNumberFormat="1" applyFill="1" applyBorder="1" applyAlignment="1">
      <alignment horizontal="center"/>
    </xf>
    <xf numFmtId="175" fontId="0" fillId="7" borderId="88" xfId="0" applyNumberFormat="1" applyFill="1" applyBorder="1" applyAlignment="1">
      <alignment horizontal="center"/>
    </xf>
    <xf numFmtId="173" fontId="0" fillId="7" borderId="32" xfId="0" applyNumberFormat="1" applyFill="1" applyBorder="1" applyAlignment="1">
      <alignment horizontal="center"/>
    </xf>
    <xf numFmtId="171" fontId="0" fillId="7" borderId="67" xfId="0" applyNumberFormat="1" applyFill="1" applyBorder="1" applyAlignment="1">
      <alignment horizontal="center"/>
    </xf>
    <xf numFmtId="173" fontId="0" fillId="7" borderId="6" xfId="0" applyNumberFormat="1" applyFill="1" applyBorder="1" applyAlignment="1">
      <alignment horizontal="center"/>
    </xf>
    <xf numFmtId="171" fontId="0" fillId="7" borderId="72" xfId="0" applyNumberFormat="1" applyFill="1" applyBorder="1" applyAlignment="1">
      <alignment horizontal="center"/>
    </xf>
    <xf numFmtId="171" fontId="0" fillId="7" borderId="8" xfId="0" applyNumberFormat="1" applyFill="1" applyBorder="1" applyAlignment="1">
      <alignment horizontal="center"/>
    </xf>
    <xf numFmtId="175" fontId="0" fillId="7" borderId="87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75" fontId="0" fillId="10" borderId="41" xfId="0" applyNumberFormat="1" applyFill="1" applyBorder="1" applyAlignment="1">
      <alignment horizontal="center"/>
    </xf>
    <xf numFmtId="168" fontId="0" fillId="7" borderId="0" xfId="0" applyNumberFormat="1" applyFill="1" applyBorder="1" applyAlignment="1">
      <alignment horizontal="center"/>
    </xf>
    <xf numFmtId="168" fontId="0" fillId="7" borderId="7" xfId="0" applyNumberFormat="1" applyFill="1" applyBorder="1" applyAlignment="1">
      <alignment horizontal="center"/>
    </xf>
    <xf numFmtId="168" fontId="0" fillId="7" borderId="106" xfId="0" applyNumberFormat="1" applyFill="1" applyBorder="1" applyAlignment="1">
      <alignment horizontal="center"/>
    </xf>
    <xf numFmtId="168" fontId="0" fillId="7" borderId="110" xfId="0" applyNumberFormat="1" applyFill="1" applyBorder="1" applyAlignment="1">
      <alignment horizontal="center"/>
    </xf>
    <xf numFmtId="168" fontId="0" fillId="7" borderId="107" xfId="0" applyNumberFormat="1" applyFill="1" applyBorder="1" applyAlignment="1">
      <alignment horizontal="center"/>
    </xf>
    <xf numFmtId="171" fontId="0" fillId="7" borderId="71" xfId="0" applyNumberFormat="1" applyFill="1" applyBorder="1" applyAlignment="1">
      <alignment horizontal="center"/>
    </xf>
    <xf numFmtId="172" fontId="0" fillId="7" borderId="71" xfId="0" applyNumberFormat="1" applyFill="1" applyBorder="1" applyAlignment="1">
      <alignment horizontal="center"/>
    </xf>
    <xf numFmtId="172" fontId="0" fillId="7" borderId="67" xfId="0" applyNumberFormat="1" applyFill="1" applyBorder="1" applyAlignment="1">
      <alignment horizontal="center"/>
    </xf>
    <xf numFmtId="172" fontId="0" fillId="10" borderId="70" xfId="0" applyNumberFormat="1" applyFill="1" applyBorder="1" applyAlignment="1">
      <alignment horizontal="center"/>
    </xf>
    <xf numFmtId="174" fontId="0" fillId="7" borderId="29" xfId="0" applyNumberFormat="1" applyFill="1" applyBorder="1" applyAlignment="1">
      <alignment horizontal="center"/>
    </xf>
    <xf numFmtId="174" fontId="0" fillId="7" borderId="71" xfId="0" applyNumberFormat="1" applyFill="1" applyBorder="1" applyAlignment="1">
      <alignment horizontal="center"/>
    </xf>
    <xf numFmtId="174" fontId="0" fillId="7" borderId="33" xfId="0" applyNumberFormat="1" applyFill="1" applyBorder="1" applyAlignment="1">
      <alignment horizontal="center"/>
    </xf>
    <xf numFmtId="174" fontId="0" fillId="7" borderId="67" xfId="0" applyNumberFormat="1" applyFill="1" applyBorder="1" applyAlignment="1">
      <alignment horizontal="center"/>
    </xf>
    <xf numFmtId="174" fontId="0" fillId="10" borderId="37" xfId="0" applyNumberFormat="1" applyFill="1" applyBorder="1" applyAlignment="1">
      <alignment horizontal="center"/>
    </xf>
    <xf numFmtId="174" fontId="0" fillId="10" borderId="70" xfId="0" applyNumberFormat="1" applyFill="1" applyBorder="1" applyAlignment="1">
      <alignment horizontal="center"/>
    </xf>
    <xf numFmtId="172" fontId="0" fillId="7" borderId="70" xfId="0" applyNumberFormat="1" applyFill="1" applyBorder="1" applyAlignment="1">
      <alignment horizontal="center"/>
    </xf>
    <xf numFmtId="170" fontId="0" fillId="10" borderId="69" xfId="0" applyNumberFormat="1" applyFill="1" applyBorder="1" applyAlignment="1">
      <alignment horizontal="center"/>
    </xf>
    <xf numFmtId="170" fontId="0" fillId="10" borderId="67" xfId="0" applyNumberFormat="1" applyFill="1" applyBorder="1" applyAlignment="1">
      <alignment horizontal="center"/>
    </xf>
    <xf numFmtId="171" fontId="0" fillId="7" borderId="28" xfId="0" applyNumberFormat="1" applyFill="1" applyBorder="1" applyAlignment="1">
      <alignment horizontal="center"/>
    </xf>
    <xf numFmtId="171" fontId="0" fillId="7" borderId="31" xfId="0" applyNumberFormat="1" applyFill="1" applyBorder="1" applyAlignment="1">
      <alignment horizontal="center"/>
    </xf>
    <xf numFmtId="172" fontId="0" fillId="7" borderId="28" xfId="0" applyNumberFormat="1" applyFill="1" applyBorder="1" applyAlignment="1">
      <alignment horizontal="center"/>
    </xf>
    <xf numFmtId="172" fontId="0" fillId="7" borderId="31" xfId="0" applyNumberFormat="1" applyFill="1" applyBorder="1" applyAlignment="1">
      <alignment horizontal="center"/>
    </xf>
    <xf numFmtId="172" fontId="0" fillId="10" borderId="67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57" xfId="0" applyFill="1" applyBorder="1" applyAlignment="1">
      <alignment horizontal="center"/>
    </xf>
    <xf numFmtId="1" fontId="0" fillId="2" borderId="39" xfId="0" applyNumberFormat="1" applyFill="1" applyBorder="1" applyAlignment="1">
      <alignment horizontal="center"/>
    </xf>
    <xf numFmtId="171" fontId="0" fillId="9" borderId="103" xfId="0" applyNumberFormat="1" applyFill="1" applyBorder="1" applyAlignment="1">
      <alignment horizontal="center"/>
    </xf>
    <xf numFmtId="171" fontId="0" fillId="9" borderId="65" xfId="0" applyNumberFormat="1" applyFill="1" applyBorder="1" applyAlignment="1">
      <alignment horizontal="center"/>
    </xf>
    <xf numFmtId="175" fontId="0" fillId="9" borderId="103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66" fontId="0" fillId="10" borderId="35" xfId="0" applyNumberFormat="1" applyFill="1" applyBorder="1" applyAlignment="1">
      <alignment horizontal="center"/>
    </xf>
    <xf numFmtId="166" fontId="0" fillId="10" borderId="39" xfId="0" applyNumberForma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166" fontId="0" fillId="7" borderId="69" xfId="0" applyNumberFormat="1" applyFill="1" applyBorder="1" applyAlignment="1">
      <alignment horizontal="center"/>
    </xf>
    <xf numFmtId="172" fontId="0" fillId="7" borderId="69" xfId="0" applyNumberFormat="1" applyFill="1" applyBorder="1" applyAlignment="1">
      <alignment horizontal="center"/>
    </xf>
    <xf numFmtId="172" fontId="0" fillId="10" borderId="69" xfId="0" applyNumberFormat="1" applyFill="1" applyBorder="1" applyAlignment="1">
      <alignment horizontal="center"/>
    </xf>
    <xf numFmtId="2" fontId="0" fillId="10" borderId="67" xfId="0" applyNumberFormat="1" applyFill="1" applyBorder="1" applyAlignment="1">
      <alignment horizontal="center"/>
    </xf>
    <xf numFmtId="2" fontId="0" fillId="10" borderId="70" xfId="0" applyNumberFormat="1" applyFill="1" applyBorder="1" applyAlignment="1">
      <alignment horizontal="center"/>
    </xf>
    <xf numFmtId="169" fontId="0" fillId="10" borderId="70" xfId="0" applyNumberFormat="1" applyFill="1" applyBorder="1" applyAlignment="1">
      <alignment horizontal="center"/>
    </xf>
    <xf numFmtId="2" fontId="0" fillId="10" borderId="69" xfId="0" applyNumberFormat="1" applyFill="1" applyBorder="1" applyAlignment="1">
      <alignment horizontal="center"/>
    </xf>
    <xf numFmtId="167" fontId="0" fillId="10" borderId="67" xfId="0" applyNumberFormat="1" applyFill="1" applyBorder="1" applyAlignment="1">
      <alignment horizontal="center"/>
    </xf>
    <xf numFmtId="169" fontId="0" fillId="10" borderId="67" xfId="0" applyNumberFormat="1" applyFill="1" applyBorder="1" applyAlignment="1">
      <alignment horizontal="center"/>
    </xf>
    <xf numFmtId="167" fontId="0" fillId="10" borderId="70" xfId="0" applyNumberFormat="1" applyFill="1" applyBorder="1" applyAlignment="1">
      <alignment horizontal="center"/>
    </xf>
    <xf numFmtId="2" fontId="0" fillId="7" borderId="69" xfId="0" applyNumberFormat="1" applyFill="1" applyBorder="1" applyAlignment="1">
      <alignment horizontal="center"/>
    </xf>
    <xf numFmtId="169" fontId="0" fillId="7" borderId="69" xfId="0" applyNumberFormat="1" applyFill="1" applyBorder="1" applyAlignment="1">
      <alignment horizontal="center"/>
    </xf>
    <xf numFmtId="1" fontId="0" fillId="10" borderId="69" xfId="0" applyNumberFormat="1" applyFill="1" applyBorder="1" applyAlignment="1">
      <alignment horizontal="center"/>
    </xf>
    <xf numFmtId="164" fontId="0" fillId="10" borderId="67" xfId="0" applyNumberFormat="1" applyFill="1" applyBorder="1" applyAlignment="1">
      <alignment horizontal="center"/>
    </xf>
    <xf numFmtId="164" fontId="0" fillId="10" borderId="69" xfId="0" applyNumberFormat="1" applyFill="1" applyBorder="1" applyAlignment="1">
      <alignment horizontal="center"/>
    </xf>
    <xf numFmtId="164" fontId="0" fillId="10" borderId="70" xfId="0" applyNumberFormat="1" applyFill="1" applyBorder="1" applyAlignment="1">
      <alignment horizontal="center"/>
    </xf>
    <xf numFmtId="175" fontId="0" fillId="10" borderId="3" xfId="0" applyNumberFormat="1" applyFill="1" applyBorder="1" applyAlignment="1">
      <alignment horizontal="center"/>
    </xf>
    <xf numFmtId="171" fontId="0" fillId="10" borderId="67" xfId="0" applyNumberFormat="1" applyFill="1" applyBorder="1" applyAlignment="1">
      <alignment horizontal="center"/>
    </xf>
    <xf numFmtId="171" fontId="0" fillId="10" borderId="70" xfId="0" applyNumberFormat="1" applyFill="1" applyBorder="1" applyAlignment="1">
      <alignment horizontal="center"/>
    </xf>
    <xf numFmtId="177" fontId="7" fillId="13" borderId="142" xfId="1" applyFill="1" applyBorder="1" applyAlignment="1">
      <alignment horizontal="center"/>
    </xf>
    <xf numFmtId="178" fontId="7" fillId="13" borderId="142" xfId="1" applyNumberFormat="1" applyFill="1" applyBorder="1" applyAlignment="1">
      <alignment horizontal="center"/>
    </xf>
    <xf numFmtId="177" fontId="7" fillId="15" borderId="142" xfId="1" applyFill="1" applyBorder="1" applyAlignment="1">
      <alignment horizontal="center"/>
    </xf>
    <xf numFmtId="175" fontId="0" fillId="10" borderId="69" xfId="0" applyNumberFormat="1" applyFill="1" applyBorder="1" applyAlignment="1">
      <alignment horizontal="center"/>
    </xf>
    <xf numFmtId="169" fontId="0" fillId="7" borderId="67" xfId="0" applyNumberFormat="1" applyFill="1" applyBorder="1" applyAlignment="1">
      <alignment horizontal="center"/>
    </xf>
    <xf numFmtId="179" fontId="7" fillId="13" borderId="142" xfId="1" applyNumberFormat="1" applyFill="1" applyBorder="1" applyAlignment="1">
      <alignment horizontal="center"/>
    </xf>
    <xf numFmtId="179" fontId="7" fillId="15" borderId="142" xfId="1" applyNumberFormat="1" applyFill="1" applyBorder="1" applyAlignment="1">
      <alignment horizontal="center"/>
    </xf>
    <xf numFmtId="171" fontId="7" fillId="13" borderId="142" xfId="1" applyNumberFormat="1" applyFill="1" applyBorder="1" applyAlignment="1">
      <alignment horizontal="center"/>
    </xf>
    <xf numFmtId="172" fontId="0" fillId="9" borderId="75" xfId="0" applyNumberFormat="1" applyFill="1" applyBorder="1" applyAlignment="1">
      <alignment horizontal="center"/>
    </xf>
    <xf numFmtId="171" fontId="7" fillId="13" borderId="135" xfId="1" applyNumberFormat="1" applyFill="1" applyBorder="1" applyAlignment="1">
      <alignment horizontal="center"/>
    </xf>
    <xf numFmtId="171" fontId="7" fillId="13" borderId="141" xfId="1" applyNumberFormat="1" applyFill="1" applyBorder="1" applyAlignment="1">
      <alignment horizontal="center"/>
    </xf>
    <xf numFmtId="177" fontId="7" fillId="15" borderId="127" xfId="1" applyFill="1" applyBorder="1" applyAlignment="1">
      <alignment horizontal="center"/>
    </xf>
    <xf numFmtId="177" fontId="7" fillId="15" borderId="141" xfId="1" applyFill="1" applyBorder="1" applyAlignment="1">
      <alignment horizontal="center"/>
    </xf>
    <xf numFmtId="177" fontId="7" fillId="15" borderId="128" xfId="1" applyFill="1" applyBorder="1" applyAlignment="1">
      <alignment horizontal="center"/>
    </xf>
    <xf numFmtId="169" fontId="0" fillId="10" borderId="69" xfId="0" applyNumberFormat="1" applyFill="1" applyBorder="1" applyAlignment="1">
      <alignment horizontal="center"/>
    </xf>
    <xf numFmtId="169" fontId="0" fillId="10" borderId="44" xfId="0" applyNumberFormat="1" applyFill="1" applyBorder="1" applyAlignment="1">
      <alignment horizontal="center"/>
    </xf>
    <xf numFmtId="179" fontId="7" fillId="15" borderId="141" xfId="1" applyNumberFormat="1" applyFill="1" applyBorder="1" applyAlignment="1">
      <alignment horizontal="center"/>
    </xf>
    <xf numFmtId="169" fontId="0" fillId="7" borderId="71" xfId="0" applyNumberFormat="1" applyFill="1" applyBorder="1" applyAlignment="1">
      <alignment horizontal="center"/>
    </xf>
    <xf numFmtId="2" fontId="0" fillId="7" borderId="31" xfId="0" applyNumberFormat="1" applyFill="1" applyBorder="1" applyAlignment="1">
      <alignment horizontal="center"/>
    </xf>
    <xf numFmtId="177" fontId="7" fillId="13" borderId="148" xfId="1" applyFill="1" applyBorder="1" applyAlignment="1">
      <alignment horizontal="center"/>
    </xf>
    <xf numFmtId="177" fontId="7" fillId="13" borderId="145" xfId="1" applyFill="1" applyBorder="1" applyAlignment="1">
      <alignment horizontal="center"/>
    </xf>
    <xf numFmtId="177" fontId="7" fillId="13" borderId="149" xfId="1" applyFill="1" applyBorder="1" applyAlignment="1">
      <alignment horizontal="center"/>
    </xf>
    <xf numFmtId="169" fontId="0" fillId="7" borderId="70" xfId="0" applyNumberFormat="1" applyFill="1" applyBorder="1" applyAlignment="1">
      <alignment horizontal="center"/>
    </xf>
    <xf numFmtId="177" fontId="7" fillId="13" borderId="150" xfId="1" applyFill="1" applyBorder="1" applyAlignment="1">
      <alignment horizontal="center"/>
    </xf>
    <xf numFmtId="177" fontId="7" fillId="13" borderId="147" xfId="1" applyFill="1" applyBorder="1" applyAlignment="1">
      <alignment horizontal="center"/>
    </xf>
    <xf numFmtId="177" fontId="7" fillId="13" borderId="151" xfId="1" applyFill="1" applyBorder="1" applyAlignment="1">
      <alignment horizontal="center"/>
    </xf>
    <xf numFmtId="169" fontId="0" fillId="7" borderId="31" xfId="0" applyNumberFormat="1" applyFill="1" applyBorder="1" applyAlignment="1">
      <alignment horizontal="center"/>
    </xf>
    <xf numFmtId="179" fontId="7" fillId="13" borderId="145" xfId="1" applyNumberFormat="1" applyFill="1" applyBorder="1" applyAlignment="1">
      <alignment horizontal="center"/>
    </xf>
    <xf numFmtId="179" fontId="7" fillId="13" borderId="147" xfId="1" applyNumberFormat="1" applyFill="1" applyBorder="1" applyAlignment="1">
      <alignment horizontal="center"/>
    </xf>
    <xf numFmtId="175" fontId="0" fillId="10" borderId="44" xfId="0" applyNumberFormat="1" applyFill="1" applyBorder="1" applyAlignment="1">
      <alignment horizontal="center"/>
    </xf>
    <xf numFmtId="177" fontId="7" fillId="15" borderId="150" xfId="1" applyFill="1" applyBorder="1" applyAlignment="1">
      <alignment horizontal="center"/>
    </xf>
    <xf numFmtId="177" fontId="7" fillId="15" borderId="147" xfId="1" applyFill="1" applyBorder="1" applyAlignment="1">
      <alignment horizontal="center"/>
    </xf>
    <xf numFmtId="177" fontId="7" fillId="15" borderId="151" xfId="1" applyFill="1" applyBorder="1" applyAlignment="1">
      <alignment horizontal="center"/>
    </xf>
    <xf numFmtId="175" fontId="0" fillId="10" borderId="7" xfId="0" applyNumberFormat="1" applyFill="1" applyBorder="1" applyAlignment="1">
      <alignment horizontal="center"/>
    </xf>
    <xf numFmtId="179" fontId="7" fillId="13" borderId="152" xfId="1" applyNumberFormat="1" applyFill="1" applyBorder="1" applyAlignment="1">
      <alignment horizontal="center"/>
    </xf>
    <xf numFmtId="179" fontId="7" fillId="13" borderId="153" xfId="1" applyNumberFormat="1" applyFill="1" applyBorder="1" applyAlignment="1">
      <alignment horizontal="center"/>
    </xf>
    <xf numFmtId="179" fontId="7" fillId="13" borderId="154" xfId="1" applyNumberFormat="1" applyFill="1" applyBorder="1" applyAlignment="1">
      <alignment horizontal="center"/>
    </xf>
    <xf numFmtId="179" fontId="7" fillId="13" borderId="155" xfId="1" applyNumberFormat="1" applyFill="1" applyBorder="1" applyAlignment="1">
      <alignment horizontal="center"/>
    </xf>
    <xf numFmtId="179" fontId="7" fillId="13" borderId="156" xfId="1" applyNumberFormat="1" applyFill="1" applyBorder="1" applyAlignment="1">
      <alignment horizontal="center"/>
    </xf>
    <xf numFmtId="179" fontId="7" fillId="13" borderId="157" xfId="1" applyNumberFormat="1" applyFill="1" applyBorder="1" applyAlignment="1">
      <alignment horizontal="center"/>
    </xf>
    <xf numFmtId="179" fontId="7" fillId="15" borderId="158" xfId="1" applyNumberFormat="1" applyFill="1" applyBorder="1" applyAlignment="1">
      <alignment horizontal="center"/>
    </xf>
    <xf numFmtId="179" fontId="7" fillId="15" borderId="159" xfId="1" applyNumberFormat="1" applyFill="1" applyBorder="1" applyAlignment="1">
      <alignment horizontal="center"/>
    </xf>
    <xf numFmtId="179" fontId="7" fillId="15" borderId="154" xfId="1" applyNumberFormat="1" applyFill="1" applyBorder="1" applyAlignment="1">
      <alignment horizontal="center"/>
    </xf>
    <xf numFmtId="179" fontId="7" fillId="15" borderId="155" xfId="1" applyNumberFormat="1" applyFill="1" applyBorder="1" applyAlignment="1">
      <alignment horizontal="center"/>
    </xf>
    <xf numFmtId="177" fontId="7" fillId="15" borderId="156" xfId="1" applyFill="1" applyBorder="1" applyAlignment="1">
      <alignment horizontal="center"/>
    </xf>
    <xf numFmtId="177" fontId="7" fillId="15" borderId="157" xfId="1" applyFill="1" applyBorder="1" applyAlignment="1">
      <alignment horizontal="center"/>
    </xf>
    <xf numFmtId="0" fontId="0" fillId="3" borderId="75" xfId="0" applyFill="1" applyBorder="1" applyAlignment="1">
      <alignment horizontal="center"/>
    </xf>
    <xf numFmtId="0" fontId="0" fillId="4" borderId="75" xfId="0" applyFill="1" applyBorder="1" applyAlignment="1">
      <alignment horizontal="center"/>
    </xf>
    <xf numFmtId="0" fontId="0" fillId="4" borderId="6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8" fontId="0" fillId="10" borderId="70" xfId="0" applyNumberFormat="1" applyFill="1" applyBorder="1" applyAlignment="1">
      <alignment horizontal="center"/>
    </xf>
    <xf numFmtId="168" fontId="0" fillId="10" borderId="39" xfId="0" applyNumberFormat="1" applyFill="1" applyBorder="1" applyAlignment="1">
      <alignment horizontal="center"/>
    </xf>
    <xf numFmtId="164" fontId="0" fillId="10" borderId="35" xfId="0" applyNumberFormat="1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168" fontId="0" fillId="8" borderId="35" xfId="0" applyNumberFormat="1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2" fontId="0" fillId="9" borderId="63" xfId="0" applyNumberFormat="1" applyFill="1" applyBorder="1" applyAlignment="1">
      <alignment horizontal="center"/>
    </xf>
    <xf numFmtId="0" fontId="0" fillId="9" borderId="64" xfId="0" applyFill="1" applyBorder="1" applyAlignment="1">
      <alignment horizontal="center"/>
    </xf>
    <xf numFmtId="0" fontId="0" fillId="9" borderId="81" xfId="0" applyFill="1" applyBorder="1" applyAlignment="1">
      <alignment horizontal="center"/>
    </xf>
    <xf numFmtId="171" fontId="0" fillId="9" borderId="63" xfId="0" applyNumberFormat="1" applyFill="1" applyBorder="1" applyAlignment="1">
      <alignment horizontal="center"/>
    </xf>
    <xf numFmtId="175" fontId="0" fillId="9" borderId="81" xfId="0" applyNumberFormat="1" applyFill="1" applyBorder="1" applyAlignment="1">
      <alignment horizontal="center"/>
    </xf>
    <xf numFmtId="2" fontId="0" fillId="8" borderId="63" xfId="0" applyNumberFormat="1" applyFill="1" applyBorder="1" applyAlignment="1">
      <alignment horizontal="center"/>
    </xf>
    <xf numFmtId="0" fontId="0" fillId="8" borderId="81" xfId="0" applyFill="1" applyBorder="1" applyAlignment="1">
      <alignment horizontal="center"/>
    </xf>
    <xf numFmtId="169" fontId="0" fillId="8" borderId="63" xfId="0" applyNumberFormat="1" applyFill="1" applyBorder="1" applyAlignment="1">
      <alignment horizontal="center"/>
    </xf>
    <xf numFmtId="171" fontId="0" fillId="8" borderId="65" xfId="0" applyNumberFormat="1" applyFill="1" applyBorder="1" applyAlignment="1">
      <alignment horizontal="center"/>
    </xf>
    <xf numFmtId="175" fontId="0" fillId="8" borderId="81" xfId="0" applyNumberFormat="1" applyFill="1" applyBorder="1" applyAlignment="1">
      <alignment horizontal="center"/>
    </xf>
    <xf numFmtId="2" fontId="0" fillId="7" borderId="63" xfId="0" applyNumberFormat="1" applyFill="1" applyBorder="1" applyAlignment="1">
      <alignment horizontal="center"/>
    </xf>
    <xf numFmtId="0" fontId="0" fillId="7" borderId="81" xfId="0" applyFill="1" applyBorder="1" applyAlignment="1">
      <alignment horizontal="center"/>
    </xf>
    <xf numFmtId="171" fontId="0" fillId="7" borderId="63" xfId="0" applyNumberFormat="1" applyFill="1" applyBorder="1" applyAlignment="1">
      <alignment horizontal="center"/>
    </xf>
    <xf numFmtId="171" fontId="0" fillId="7" borderId="65" xfId="0" applyNumberFormat="1" applyFill="1" applyBorder="1" applyAlignment="1">
      <alignment horizontal="center"/>
    </xf>
    <xf numFmtId="175" fontId="0" fillId="7" borderId="81" xfId="0" applyNumberFormat="1" applyFill="1" applyBorder="1" applyAlignment="1">
      <alignment horizontal="center"/>
    </xf>
    <xf numFmtId="2" fontId="0" fillId="10" borderId="63" xfId="0" applyNumberFormat="1" applyFill="1" applyBorder="1" applyAlignment="1">
      <alignment horizontal="center"/>
    </xf>
    <xf numFmtId="0" fontId="0" fillId="10" borderId="81" xfId="0" applyFill="1" applyBorder="1" applyAlignment="1">
      <alignment horizontal="center"/>
    </xf>
    <xf numFmtId="171" fontId="0" fillId="10" borderId="63" xfId="0" applyNumberFormat="1" applyFill="1" applyBorder="1" applyAlignment="1">
      <alignment horizontal="center"/>
    </xf>
    <xf numFmtId="171" fontId="0" fillId="10" borderId="65" xfId="0" applyNumberFormat="1" applyFill="1" applyBorder="1" applyAlignment="1">
      <alignment horizontal="center"/>
    </xf>
    <xf numFmtId="175" fontId="0" fillId="10" borderId="81" xfId="0" applyNumberFormat="1" applyFill="1" applyBorder="1" applyAlignment="1">
      <alignment horizontal="center"/>
    </xf>
    <xf numFmtId="171" fontId="0" fillId="8" borderId="103" xfId="0" applyNumberFormat="1" applyFill="1" applyBorder="1" applyAlignment="1">
      <alignment horizontal="center"/>
    </xf>
    <xf numFmtId="171" fontId="0" fillId="7" borderId="103" xfId="0" applyNumberFormat="1" applyFill="1" applyBorder="1" applyAlignment="1">
      <alignment horizontal="center"/>
    </xf>
    <xf numFmtId="2" fontId="0" fillId="10" borderId="103" xfId="0" applyNumberFormat="1" applyFill="1" applyBorder="1" applyAlignment="1">
      <alignment horizontal="center"/>
    </xf>
    <xf numFmtId="171" fontId="0" fillId="10" borderId="103" xfId="0" applyNumberFormat="1" applyFill="1" applyBorder="1" applyAlignment="1">
      <alignment horizontal="center"/>
    </xf>
    <xf numFmtId="179" fontId="7" fillId="16" borderId="103" xfId="1" applyNumberFormat="1" applyFill="1" applyBorder="1" applyAlignment="1">
      <alignment horizontal="center"/>
    </xf>
    <xf numFmtId="175" fontId="0" fillId="7" borderId="103" xfId="0" applyNumberFormat="1" applyFill="1" applyBorder="1" applyAlignment="1">
      <alignment horizontal="center"/>
    </xf>
    <xf numFmtId="175" fontId="0" fillId="10" borderId="103" xfId="0" applyNumberFormat="1" applyFill="1" applyBorder="1" applyAlignment="1">
      <alignment horizontal="center"/>
    </xf>
    <xf numFmtId="175" fontId="0" fillId="9" borderId="65" xfId="0" applyNumberFormat="1" applyFill="1" applyBorder="1" applyAlignment="1">
      <alignment horizontal="center"/>
    </xf>
    <xf numFmtId="175" fontId="0" fillId="7" borderId="65" xfId="0" applyNumberFormat="1" applyFill="1" applyBorder="1" applyAlignment="1">
      <alignment horizontal="center"/>
    </xf>
    <xf numFmtId="175" fontId="0" fillId="10" borderId="65" xfId="0" applyNumberFormat="1" applyFill="1" applyBorder="1" applyAlignment="1">
      <alignment horizontal="center"/>
    </xf>
    <xf numFmtId="175" fontId="0" fillId="9" borderId="17" xfId="0" applyNumberFormat="1" applyFill="1" applyBorder="1" applyAlignment="1">
      <alignment horizontal="center"/>
    </xf>
    <xf numFmtId="175" fontId="0" fillId="10" borderId="22" xfId="0" applyNumberFormat="1" applyFill="1" applyBorder="1" applyAlignment="1">
      <alignment horizontal="center"/>
    </xf>
    <xf numFmtId="175" fontId="0" fillId="10" borderId="27" xfId="0" applyNumberFormat="1" applyFill="1" applyBorder="1" applyAlignment="1">
      <alignment horizontal="center"/>
    </xf>
    <xf numFmtId="1" fontId="0" fillId="10" borderId="37" xfId="0" applyNumberFormat="1" applyFill="1" applyBorder="1" applyAlignment="1">
      <alignment horizontal="center"/>
    </xf>
    <xf numFmtId="0" fontId="0" fillId="3" borderId="94" xfId="0" applyFill="1" applyBorder="1" applyAlignment="1">
      <alignment horizontal="center"/>
    </xf>
    <xf numFmtId="2" fontId="0" fillId="10" borderId="72" xfId="0" applyNumberFormat="1" applyFill="1" applyBorder="1" applyAlignment="1">
      <alignment horizontal="center"/>
    </xf>
    <xf numFmtId="172" fontId="0" fillId="10" borderId="72" xfId="0" applyNumberFormat="1" applyFill="1" applyBorder="1" applyAlignment="1">
      <alignment horizontal="center"/>
    </xf>
    <xf numFmtId="179" fontId="7" fillId="16" borderId="72" xfId="1" applyNumberFormat="1" applyFill="1" applyBorder="1" applyAlignment="1">
      <alignment horizontal="center"/>
    </xf>
    <xf numFmtId="175" fontId="0" fillId="9" borderId="74" xfId="0" applyNumberFormat="1" applyFill="1" applyBorder="1" applyAlignment="1">
      <alignment horizontal="center"/>
    </xf>
    <xf numFmtId="175" fontId="0" fillId="10" borderId="79" xfId="0" applyNumberFormat="1" applyFill="1" applyBorder="1" applyAlignment="1">
      <alignment horizontal="center"/>
    </xf>
    <xf numFmtId="179" fontId="7" fillId="11" borderId="5" xfId="1" applyNumberFormat="1" applyFill="1" applyBorder="1" applyAlignment="1">
      <alignment horizontal="center"/>
    </xf>
    <xf numFmtId="179" fontId="7" fillId="12" borderId="35" xfId="1" applyNumberFormat="1" applyFill="1" applyBorder="1" applyAlignment="1">
      <alignment horizontal="center"/>
    </xf>
    <xf numFmtId="179" fontId="7" fillId="14" borderId="35" xfId="1" applyNumberFormat="1" applyFill="1" applyBorder="1" applyAlignment="1">
      <alignment horizontal="center"/>
    </xf>
    <xf numFmtId="179" fontId="7" fillId="16" borderId="6" xfId="1" applyNumberFormat="1" applyFill="1" applyBorder="1" applyAlignment="1">
      <alignment horizontal="center"/>
    </xf>
    <xf numFmtId="179" fontId="7" fillId="16" borderId="8" xfId="1" applyNumberFormat="1" applyFill="1" applyBorder="1" applyAlignment="1">
      <alignment horizontal="center"/>
    </xf>
    <xf numFmtId="175" fontId="0" fillId="10" borderId="29" xfId="0" applyNumberFormat="1" applyFill="1" applyBorder="1" applyAlignment="1">
      <alignment horizontal="center"/>
    </xf>
    <xf numFmtId="177" fontId="7" fillId="17" borderId="33" xfId="1" applyFill="1" applyBorder="1" applyAlignment="1">
      <alignment horizontal="center"/>
    </xf>
    <xf numFmtId="177" fontId="7" fillId="17" borderId="67" xfId="1" applyFill="1" applyBorder="1" applyAlignment="1">
      <alignment horizontal="center"/>
    </xf>
    <xf numFmtId="177" fontId="7" fillId="18" borderId="33" xfId="1" applyFill="1" applyBorder="1" applyAlignment="1">
      <alignment horizontal="center"/>
    </xf>
    <xf numFmtId="177" fontId="7" fillId="18" borderId="67" xfId="1" applyFill="1" applyBorder="1" applyAlignment="1">
      <alignment horizontal="center"/>
    </xf>
    <xf numFmtId="177" fontId="7" fillId="17" borderId="162" xfId="1" applyFill="1" applyBorder="1" applyAlignment="1">
      <alignment horizontal="center"/>
    </xf>
    <xf numFmtId="177" fontId="7" fillId="17" borderId="163" xfId="1" applyFill="1" applyBorder="1" applyAlignment="1">
      <alignment horizontal="center"/>
    </xf>
    <xf numFmtId="177" fontId="7" fillId="18" borderId="162" xfId="1" applyFill="1" applyBorder="1" applyAlignment="1">
      <alignment horizontal="center"/>
    </xf>
    <xf numFmtId="177" fontId="7" fillId="18" borderId="163" xfId="1" applyFill="1" applyBorder="1" applyAlignment="1">
      <alignment horizontal="center"/>
    </xf>
    <xf numFmtId="178" fontId="7" fillId="18" borderId="33" xfId="1" applyNumberFormat="1" applyFill="1" applyBorder="1" applyAlignment="1">
      <alignment horizontal="center"/>
    </xf>
    <xf numFmtId="177" fontId="7" fillId="18" borderId="164" xfId="1" applyFill="1" applyBorder="1" applyAlignment="1">
      <alignment horizontal="center"/>
    </xf>
    <xf numFmtId="177" fontId="7" fillId="18" borderId="72" xfId="1" applyFill="1" applyBorder="1" applyAlignment="1">
      <alignment horizontal="center"/>
    </xf>
    <xf numFmtId="177" fontId="7" fillId="18" borderId="165" xfId="1" applyFill="1" applyBorder="1" applyAlignment="1">
      <alignment horizontal="center"/>
    </xf>
    <xf numFmtId="177" fontId="7" fillId="18" borderId="7" xfId="1" applyFill="1" applyBorder="1" applyAlignment="1">
      <alignment horizontal="center"/>
    </xf>
    <xf numFmtId="177" fontId="7" fillId="17" borderId="40" xfId="1" applyFill="1" applyBorder="1" applyAlignment="1">
      <alignment horizontal="center"/>
    </xf>
    <xf numFmtId="177" fontId="7" fillId="17" borderId="68" xfId="1" applyFill="1" applyBorder="1" applyAlignment="1">
      <alignment horizontal="center"/>
    </xf>
    <xf numFmtId="177" fontId="7" fillId="17" borderId="42" xfId="1" applyFill="1" applyBorder="1" applyAlignment="1">
      <alignment horizontal="center"/>
    </xf>
    <xf numFmtId="177" fontId="7" fillId="17" borderId="69" xfId="1" applyFill="1" applyBorder="1" applyAlignment="1">
      <alignment horizontal="center"/>
    </xf>
    <xf numFmtId="177" fontId="7" fillId="18" borderId="168" xfId="1" applyFill="1" applyBorder="1" applyAlignment="1">
      <alignment horizontal="center"/>
    </xf>
    <xf numFmtId="177" fontId="7" fillId="18" borderId="69" xfId="1" applyFill="1" applyBorder="1" applyAlignment="1">
      <alignment horizontal="center"/>
    </xf>
    <xf numFmtId="177" fontId="7" fillId="18" borderId="169" xfId="1" applyFill="1" applyBorder="1" applyAlignment="1">
      <alignment horizontal="center"/>
    </xf>
    <xf numFmtId="177" fontId="7" fillId="18" borderId="29" xfId="1" applyFill="1" applyBorder="1" applyAlignment="1">
      <alignment horizontal="center"/>
    </xf>
    <xf numFmtId="177" fontId="7" fillId="18" borderId="71" xfId="1" applyFill="1" applyBorder="1" applyAlignment="1">
      <alignment horizontal="center"/>
    </xf>
    <xf numFmtId="177" fontId="7" fillId="17" borderId="170" xfId="1" applyFill="1" applyBorder="1" applyAlignment="1">
      <alignment horizontal="center"/>
    </xf>
    <xf numFmtId="177" fontId="7" fillId="17" borderId="71" xfId="1" applyFill="1" applyBorder="1" applyAlignment="1">
      <alignment horizontal="center"/>
    </xf>
    <xf numFmtId="177" fontId="7" fillId="17" borderId="171" xfId="1" applyFill="1" applyBorder="1" applyAlignment="1">
      <alignment horizontal="center"/>
    </xf>
    <xf numFmtId="177" fontId="7" fillId="17" borderId="172" xfId="1" applyFill="1" applyBorder="1" applyAlignment="1">
      <alignment horizontal="center"/>
    </xf>
    <xf numFmtId="177" fontId="7" fillId="17" borderId="70" xfId="1" applyFill="1" applyBorder="1" applyAlignment="1">
      <alignment horizontal="center"/>
    </xf>
    <xf numFmtId="177" fontId="7" fillId="17" borderId="173" xfId="1" applyFill="1" applyBorder="1" applyAlignment="1">
      <alignment horizontal="center"/>
    </xf>
    <xf numFmtId="177" fontId="7" fillId="18" borderId="37" xfId="1" applyFill="1" applyBorder="1" applyAlignment="1">
      <alignment horizontal="center"/>
    </xf>
    <xf numFmtId="177" fontId="7" fillId="18" borderId="70" xfId="1" applyFill="1" applyBorder="1" applyAlignment="1">
      <alignment horizontal="center"/>
    </xf>
    <xf numFmtId="175" fontId="0" fillId="7" borderId="120" xfId="0" applyNumberFormat="1" applyFill="1" applyBorder="1" applyAlignment="1">
      <alignment horizontal="center"/>
    </xf>
    <xf numFmtId="175" fontId="0" fillId="7" borderId="109" xfId="0" applyNumberFormat="1" applyFill="1" applyBorder="1" applyAlignment="1">
      <alignment horizontal="center"/>
    </xf>
    <xf numFmtId="175" fontId="0" fillId="7" borderId="117" xfId="0" applyNumberFormat="1" applyFill="1" applyBorder="1" applyAlignment="1">
      <alignment horizontal="center"/>
    </xf>
    <xf numFmtId="175" fontId="0" fillId="10" borderId="123" xfId="0" applyNumberFormat="1" applyFill="1" applyBorder="1" applyAlignment="1">
      <alignment horizontal="center"/>
    </xf>
    <xf numFmtId="175" fontId="0" fillId="10" borderId="109" xfId="0" applyNumberFormat="1" applyFill="1" applyBorder="1" applyAlignment="1">
      <alignment horizontal="center"/>
    </xf>
    <xf numFmtId="175" fontId="0" fillId="10" borderId="111" xfId="0" applyNumberFormat="1" applyFill="1" applyBorder="1" applyAlignment="1">
      <alignment horizontal="center"/>
    </xf>
    <xf numFmtId="175" fontId="0" fillId="7" borderId="123" xfId="0" applyNumberFormat="1" applyFill="1" applyBorder="1" applyAlignment="1">
      <alignment horizontal="center"/>
    </xf>
    <xf numFmtId="175" fontId="0" fillId="7" borderId="111" xfId="0" applyNumberFormat="1" applyFill="1" applyBorder="1" applyAlignment="1">
      <alignment horizontal="center"/>
    </xf>
    <xf numFmtId="175" fontId="0" fillId="10" borderId="120" xfId="0" applyNumberFormat="1" applyFill="1" applyBorder="1" applyAlignment="1">
      <alignment horizontal="center"/>
    </xf>
    <xf numFmtId="175" fontId="0" fillId="10" borderId="108" xfId="0" applyNumberFormat="1" applyFill="1" applyBorder="1" applyAlignment="1">
      <alignment horizontal="center"/>
    </xf>
    <xf numFmtId="178" fontId="7" fillId="17" borderId="162" xfId="1" applyNumberFormat="1" applyFill="1" applyBorder="1" applyAlignment="1">
      <alignment horizontal="center"/>
    </xf>
    <xf numFmtId="178" fontId="7" fillId="17" borderId="67" xfId="1" applyNumberFormat="1" applyFill="1" applyBorder="1" applyAlignment="1">
      <alignment horizontal="center"/>
    </xf>
    <xf numFmtId="177" fontId="7" fillId="18" borderId="40" xfId="1" applyFill="1" applyBorder="1" applyAlignment="1">
      <alignment horizontal="center"/>
    </xf>
    <xf numFmtId="177" fontId="7" fillId="18" borderId="68" xfId="1" applyFill="1" applyBorder="1" applyAlignment="1">
      <alignment horizontal="center"/>
    </xf>
    <xf numFmtId="175" fontId="0" fillId="10" borderId="45" xfId="0" applyNumberFormat="1" applyFill="1" applyBorder="1" applyAlignment="1">
      <alignment horizontal="center"/>
    </xf>
    <xf numFmtId="175" fontId="0" fillId="10" borderId="68" xfId="0" applyNumberFormat="1" applyFill="1" applyBorder="1" applyAlignment="1">
      <alignment horizontal="center"/>
    </xf>
    <xf numFmtId="177" fontId="7" fillId="17" borderId="166" xfId="1" applyFill="1" applyBorder="1" applyAlignment="1">
      <alignment horizontal="center"/>
    </xf>
    <xf numFmtId="177" fontId="7" fillId="17" borderId="29" xfId="1" applyFill="1" applyBorder="1" applyAlignment="1">
      <alignment horizontal="center"/>
    </xf>
    <xf numFmtId="177" fontId="7" fillId="17" borderId="37" xfId="1" applyFill="1" applyBorder="1" applyAlignment="1">
      <alignment horizontal="center"/>
    </xf>
    <xf numFmtId="183" fontId="7" fillId="18" borderId="170" xfId="1" applyNumberFormat="1" applyFill="1" applyBorder="1" applyAlignment="1">
      <alignment horizontal="center"/>
    </xf>
    <xf numFmtId="183" fontId="7" fillId="18" borderId="71" xfId="1" applyNumberFormat="1" applyFill="1" applyBorder="1" applyAlignment="1">
      <alignment horizontal="center"/>
    </xf>
    <xf numFmtId="177" fontId="7" fillId="18" borderId="172" xfId="1" applyFill="1" applyBorder="1" applyAlignment="1">
      <alignment horizontal="center"/>
    </xf>
    <xf numFmtId="175" fontId="0" fillId="10" borderId="46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9" fontId="0" fillId="10" borderId="31" xfId="0" applyNumberFormat="1" applyFill="1" applyBorder="1" applyAlignment="1">
      <alignment horizontal="center"/>
    </xf>
    <xf numFmtId="169" fontId="0" fillId="10" borderId="39" xfId="0" applyNumberFormat="1" applyFill="1" applyBorder="1" applyAlignment="1">
      <alignment horizontal="center"/>
    </xf>
    <xf numFmtId="0" fontId="0" fillId="4" borderId="63" xfId="0" applyFill="1" applyBorder="1" applyAlignment="1">
      <alignment horizontal="center"/>
    </xf>
    <xf numFmtId="0" fontId="0" fillId="4" borderId="103" xfId="0" applyFill="1" applyBorder="1" applyAlignment="1">
      <alignment horizontal="center"/>
    </xf>
    <xf numFmtId="0" fontId="0" fillId="4" borderId="65" xfId="0" applyFill="1" applyBorder="1" applyAlignment="1">
      <alignment horizontal="center"/>
    </xf>
    <xf numFmtId="1" fontId="0" fillId="10" borderId="44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176" fontId="0" fillId="10" borderId="6" xfId="0" applyNumberFormat="1" applyFill="1" applyBorder="1" applyAlignment="1">
      <alignment horizontal="center"/>
    </xf>
    <xf numFmtId="176" fontId="0" fillId="10" borderId="8" xfId="0" applyNumberFormat="1" applyFill="1" applyBorder="1" applyAlignment="1">
      <alignment horizontal="center"/>
    </xf>
    <xf numFmtId="171" fontId="0" fillId="10" borderId="32" xfId="0" applyNumberFormat="1" applyFill="1" applyBorder="1" applyAlignment="1">
      <alignment horizontal="center"/>
    </xf>
    <xf numFmtId="171" fontId="0" fillId="10" borderId="35" xfId="0" applyNumberFormat="1" applyFill="1" applyBorder="1" applyAlignment="1">
      <alignment horizontal="center"/>
    </xf>
    <xf numFmtId="176" fontId="0" fillId="10" borderId="32" xfId="0" applyNumberFormat="1" applyFill="1" applyBorder="1" applyAlignment="1">
      <alignment horizontal="center"/>
    </xf>
    <xf numFmtId="174" fontId="0" fillId="10" borderId="35" xfId="0" applyNumberFormat="1" applyFill="1" applyBorder="1" applyAlignment="1">
      <alignment horizontal="center"/>
    </xf>
    <xf numFmtId="0" fontId="0" fillId="3" borderId="100" xfId="0" applyFill="1" applyBorder="1" applyAlignment="1">
      <alignment horizontal="center"/>
    </xf>
    <xf numFmtId="0" fontId="0" fillId="4" borderId="99" xfId="0" applyFill="1" applyBorder="1" applyAlignment="1">
      <alignment horizontal="center"/>
    </xf>
    <xf numFmtId="0" fontId="0" fillId="4" borderId="100" xfId="0" applyFill="1" applyBorder="1" applyAlignment="1">
      <alignment horizontal="center"/>
    </xf>
    <xf numFmtId="0" fontId="0" fillId="3" borderId="97" xfId="0" applyFill="1" applyBorder="1" applyAlignment="1">
      <alignment horizontal="center"/>
    </xf>
    <xf numFmtId="1" fontId="0" fillId="7" borderId="48" xfId="0" applyNumberFormat="1" applyFill="1" applyBorder="1" applyAlignment="1">
      <alignment horizontal="center"/>
    </xf>
    <xf numFmtId="168" fontId="0" fillId="7" borderId="45" xfId="0" applyNumberFormat="1" applyFill="1" applyBorder="1" applyAlignment="1">
      <alignment horizontal="center"/>
    </xf>
    <xf numFmtId="168" fontId="0" fillId="7" borderId="68" xfId="0" applyNumberFormat="1" applyFill="1" applyBorder="1" applyAlignment="1">
      <alignment horizontal="center"/>
    </xf>
    <xf numFmtId="1" fontId="0" fillId="7" borderId="68" xfId="0" applyNumberFormat="1" applyFill="1" applyBorder="1" applyAlignment="1">
      <alignment horizontal="center"/>
    </xf>
    <xf numFmtId="166" fontId="0" fillId="7" borderId="118" xfId="0" applyNumberFormat="1" applyFill="1" applyBorder="1" applyAlignment="1">
      <alignment horizontal="center"/>
    </xf>
    <xf numFmtId="175" fontId="0" fillId="7" borderId="137" xfId="0" applyNumberFormat="1" applyFill="1" applyBorder="1" applyAlignment="1">
      <alignment horizontal="center"/>
    </xf>
    <xf numFmtId="1" fontId="0" fillId="7" borderId="69" xfId="0" applyNumberFormat="1" applyFill="1" applyBorder="1" applyAlignment="1">
      <alignment horizontal="center"/>
    </xf>
    <xf numFmtId="166" fontId="0" fillId="7" borderId="121" xfId="0" applyNumberFormat="1" applyFill="1" applyBorder="1" applyAlignment="1">
      <alignment horizontal="center"/>
    </xf>
    <xf numFmtId="175" fontId="0" fillId="7" borderId="138" xfId="0" applyNumberFormat="1" applyFill="1" applyBorder="1" applyAlignment="1">
      <alignment horizontal="center"/>
    </xf>
    <xf numFmtId="168" fontId="0" fillId="10" borderId="71" xfId="0" applyNumberFormat="1" applyFill="1" applyBorder="1" applyAlignment="1">
      <alignment horizontal="center"/>
    </xf>
    <xf numFmtId="1" fontId="0" fillId="10" borderId="71" xfId="0" applyNumberFormat="1" applyFill="1" applyBorder="1" applyAlignment="1">
      <alignment horizontal="center"/>
    </xf>
    <xf numFmtId="166" fontId="0" fillId="10" borderId="124" xfId="0" applyNumberFormat="1" applyFill="1" applyBorder="1" applyAlignment="1">
      <alignment horizontal="center"/>
    </xf>
    <xf numFmtId="175" fontId="0" fillId="10" borderId="139" xfId="0" applyNumberFormat="1" applyFill="1" applyBorder="1" applyAlignment="1">
      <alignment horizontal="center"/>
    </xf>
    <xf numFmtId="0" fontId="0" fillId="7" borderId="122" xfId="0" applyFill="1" applyBorder="1" applyAlignment="1">
      <alignment horizontal="center"/>
    </xf>
    <xf numFmtId="0" fontId="0" fillId="7" borderId="121" xfId="0" applyFill="1" applyBorder="1" applyAlignment="1">
      <alignment horizontal="center"/>
    </xf>
    <xf numFmtId="0" fontId="0" fillId="7" borderId="119" xfId="0" applyFill="1" applyBorder="1" applyAlignment="1">
      <alignment horizontal="center"/>
    </xf>
    <xf numFmtId="0" fontId="0" fillId="7" borderId="118" xfId="0" applyFill="1" applyBorder="1" applyAlignment="1">
      <alignment horizontal="center"/>
    </xf>
    <xf numFmtId="0" fontId="0" fillId="10" borderId="125" xfId="0" applyFill="1" applyBorder="1" applyAlignment="1">
      <alignment horizontal="center"/>
    </xf>
    <xf numFmtId="0" fontId="0" fillId="10" borderId="124" xfId="0" applyFill="1" applyBorder="1" applyAlignment="1">
      <alignment horizontal="center"/>
    </xf>
    <xf numFmtId="0" fontId="0" fillId="10" borderId="107" xfId="0" applyFill="1" applyBorder="1" applyAlignment="1">
      <alignment horizontal="center"/>
    </xf>
    <xf numFmtId="0" fontId="0" fillId="6" borderId="0" xfId="0" applyFill="1" applyAlignment="1">
      <alignment horizontal="left"/>
    </xf>
    <xf numFmtId="11" fontId="0" fillId="7" borderId="35" xfId="0" applyNumberFormat="1" applyFill="1" applyBorder="1" applyAlignment="1">
      <alignment horizontal="center"/>
    </xf>
    <xf numFmtId="175" fontId="0" fillId="7" borderId="178" xfId="0" applyNumberFormat="1" applyFill="1" applyBorder="1" applyAlignment="1">
      <alignment horizontal="center"/>
    </xf>
    <xf numFmtId="0" fontId="0" fillId="10" borderId="109" xfId="0" applyFill="1" applyBorder="1" applyAlignment="1">
      <alignment horizontal="center"/>
    </xf>
    <xf numFmtId="175" fontId="0" fillId="10" borderId="178" xfId="0" applyNumberFormat="1" applyFill="1" applyBorder="1" applyAlignment="1">
      <alignment horizontal="center"/>
    </xf>
    <xf numFmtId="0" fontId="0" fillId="7" borderId="117" xfId="0" applyFill="1" applyBorder="1" applyAlignment="1">
      <alignment horizontal="center"/>
    </xf>
    <xf numFmtId="0" fontId="0" fillId="7" borderId="120" xfId="0" applyFill="1" applyBorder="1" applyAlignment="1">
      <alignment horizontal="center"/>
    </xf>
    <xf numFmtId="0" fontId="0" fillId="10" borderId="123" xfId="0" applyFill="1" applyBorder="1" applyAlignment="1">
      <alignment horizontal="center"/>
    </xf>
    <xf numFmtId="0" fontId="0" fillId="10" borderId="108" xfId="0" applyFill="1" applyBorder="1" applyAlignment="1">
      <alignment horizontal="center"/>
    </xf>
    <xf numFmtId="167" fontId="0" fillId="7" borderId="68" xfId="0" applyNumberFormat="1" applyFill="1" applyBorder="1" applyAlignment="1">
      <alignment horizontal="center"/>
    </xf>
    <xf numFmtId="170" fontId="0" fillId="7" borderId="68" xfId="0" applyNumberFormat="1" applyFill="1" applyBorder="1" applyAlignment="1">
      <alignment horizontal="center"/>
    </xf>
    <xf numFmtId="2" fontId="0" fillId="7" borderId="68" xfId="0" applyNumberFormat="1" applyFill="1" applyBorder="1" applyAlignment="1">
      <alignment horizontal="center"/>
    </xf>
    <xf numFmtId="2" fontId="0" fillId="7" borderId="40" xfId="0" applyNumberFormat="1" applyFill="1" applyBorder="1" applyAlignment="1">
      <alignment horizontal="center"/>
    </xf>
    <xf numFmtId="11" fontId="0" fillId="7" borderId="68" xfId="0" applyNumberFormat="1" applyFill="1" applyBorder="1" applyAlignment="1">
      <alignment horizontal="center"/>
    </xf>
    <xf numFmtId="175" fontId="0" fillId="7" borderId="40" xfId="0" applyNumberFormat="1" applyFill="1" applyBorder="1" applyAlignment="1">
      <alignment horizontal="center"/>
    </xf>
    <xf numFmtId="167" fontId="0" fillId="7" borderId="69" xfId="0" applyNumberFormat="1" applyFill="1" applyBorder="1" applyAlignment="1">
      <alignment horizontal="center"/>
    </xf>
    <xf numFmtId="170" fontId="0" fillId="7" borderId="69" xfId="0" applyNumberFormat="1" applyFill="1" applyBorder="1" applyAlignment="1">
      <alignment horizontal="center"/>
    </xf>
    <xf numFmtId="11" fontId="0" fillId="7" borderId="71" xfId="0" applyNumberFormat="1" applyFill="1" applyBorder="1" applyAlignment="1">
      <alignment horizontal="center"/>
    </xf>
    <xf numFmtId="11" fontId="0" fillId="7" borderId="67" xfId="0" applyNumberFormat="1" applyFill="1" applyBorder="1" applyAlignment="1">
      <alignment horizontal="center"/>
    </xf>
    <xf numFmtId="11" fontId="0" fillId="7" borderId="33" xfId="0" applyNumberFormat="1" applyFill="1" applyBorder="1" applyAlignment="1">
      <alignment horizontal="center"/>
    </xf>
    <xf numFmtId="11" fontId="0" fillId="10" borderId="33" xfId="0" applyNumberFormat="1" applyFill="1" applyBorder="1" applyAlignment="1">
      <alignment horizontal="center"/>
    </xf>
    <xf numFmtId="11" fontId="0" fillId="10" borderId="67" xfId="0" applyNumberFormat="1" applyFill="1" applyBorder="1" applyAlignment="1">
      <alignment horizontal="center"/>
    </xf>
    <xf numFmtId="11" fontId="0" fillId="10" borderId="7" xfId="0" applyNumberFormat="1" applyFill="1" applyBorder="1" applyAlignment="1">
      <alignment horizontal="center"/>
    </xf>
    <xf numFmtId="11" fontId="0" fillId="10" borderId="72" xfId="0" applyNumberFormat="1" applyFill="1" applyBorder="1" applyAlignment="1">
      <alignment horizontal="center"/>
    </xf>
    <xf numFmtId="175" fontId="0" fillId="10" borderId="33" xfId="0" applyNumberFormat="1" applyFill="1" applyBorder="1" applyAlignment="1">
      <alignment horizontal="center"/>
    </xf>
    <xf numFmtId="11" fontId="0" fillId="10" borderId="32" xfId="0" applyNumberFormat="1" applyFill="1" applyBorder="1" applyAlignment="1">
      <alignment horizontal="center"/>
    </xf>
    <xf numFmtId="11" fontId="0" fillId="7" borderId="69" xfId="0" applyNumberFormat="1" applyFill="1" applyBorder="1" applyAlignment="1">
      <alignment horizontal="center"/>
    </xf>
    <xf numFmtId="11" fontId="0" fillId="10" borderId="71" xfId="0" applyNumberFormat="1" applyFill="1" applyBorder="1" applyAlignment="1">
      <alignment horizontal="center"/>
    </xf>
    <xf numFmtId="175" fontId="0" fillId="10" borderId="75" xfId="0" applyNumberFormat="1" applyFill="1" applyBorder="1" applyAlignment="1">
      <alignment horizontal="center"/>
    </xf>
    <xf numFmtId="11" fontId="0" fillId="7" borderId="41" xfId="0" applyNumberFormat="1" applyFill="1" applyBorder="1" applyAlignment="1">
      <alignment horizontal="center"/>
    </xf>
    <xf numFmtId="11" fontId="0" fillId="10" borderId="29" xfId="0" applyNumberFormat="1" applyFill="1" applyBorder="1" applyAlignment="1">
      <alignment horizontal="center"/>
    </xf>
    <xf numFmtId="175" fontId="0" fillId="10" borderId="37" xfId="0" applyNumberFormat="1" applyFill="1" applyBorder="1" applyAlignment="1">
      <alignment horizontal="center"/>
    </xf>
    <xf numFmtId="0" fontId="0" fillId="4" borderId="64" xfId="0" applyFill="1" applyBorder="1" applyAlignment="1">
      <alignment horizontal="center"/>
    </xf>
    <xf numFmtId="0" fontId="0" fillId="4" borderId="179" xfId="0" applyFill="1" applyBorder="1" applyAlignment="1">
      <alignment horizontal="center"/>
    </xf>
    <xf numFmtId="175" fontId="0" fillId="2" borderId="31" xfId="0" applyNumberFormat="1" applyFill="1" applyBorder="1" applyAlignment="1">
      <alignment horizontal="center"/>
    </xf>
    <xf numFmtId="175" fontId="0" fillId="2" borderId="71" xfId="0" applyNumberFormat="1" applyFill="1" applyBorder="1" applyAlignment="1">
      <alignment horizontal="center"/>
    </xf>
    <xf numFmtId="175" fontId="0" fillId="10" borderId="4" xfId="0" applyNumberFormat="1" applyFill="1" applyBorder="1" applyAlignment="1">
      <alignment horizontal="center"/>
    </xf>
    <xf numFmtId="175" fontId="0" fillId="10" borderId="5" xfId="0" applyNumberFormat="1" applyFill="1" applyBorder="1" applyAlignment="1">
      <alignment horizontal="center"/>
    </xf>
    <xf numFmtId="171" fontId="0" fillId="10" borderId="33" xfId="0" applyNumberFormat="1" applyFill="1" applyBorder="1" applyAlignment="1">
      <alignment horizontal="center"/>
    </xf>
    <xf numFmtId="172" fontId="0" fillId="2" borderId="69" xfId="0" applyNumberFormat="1" applyFill="1" applyBorder="1" applyAlignment="1">
      <alignment horizontal="center"/>
    </xf>
    <xf numFmtId="174" fontId="0" fillId="10" borderId="42" xfId="0" applyNumberFormat="1" applyFill="1" applyBorder="1" applyAlignment="1">
      <alignment horizontal="center"/>
    </xf>
    <xf numFmtId="174" fontId="0" fillId="2" borderId="42" xfId="0" applyNumberFormat="1" applyFill="1" applyBorder="1" applyAlignment="1">
      <alignment horizontal="center"/>
    </xf>
    <xf numFmtId="180" fontId="0" fillId="7" borderId="29" xfId="0" applyNumberFormat="1" applyFill="1" applyBorder="1" applyAlignment="1">
      <alignment horizontal="center"/>
    </xf>
    <xf numFmtId="180" fontId="0" fillId="7" borderId="71" xfId="0" applyNumberFormat="1" applyFill="1" applyBorder="1" applyAlignment="1">
      <alignment horizontal="center"/>
    </xf>
    <xf numFmtId="180" fontId="0" fillId="7" borderId="33" xfId="0" applyNumberFormat="1" applyFill="1" applyBorder="1" applyAlignment="1">
      <alignment horizontal="center"/>
    </xf>
    <xf numFmtId="180" fontId="0" fillId="7" borderId="67" xfId="0" applyNumberFormat="1" applyFill="1" applyBorder="1" applyAlignment="1">
      <alignment horizontal="center"/>
    </xf>
    <xf numFmtId="180" fontId="0" fillId="7" borderId="7" xfId="0" applyNumberFormat="1" applyFill="1" applyBorder="1" applyAlignment="1">
      <alignment horizontal="center"/>
    </xf>
    <xf numFmtId="180" fontId="0" fillId="7" borderId="72" xfId="0" applyNumberFormat="1" applyFill="1" applyBorder="1" applyAlignment="1">
      <alignment horizontal="center"/>
    </xf>
    <xf numFmtId="180" fontId="0" fillId="10" borderId="42" xfId="0" applyNumberFormat="1" applyFill="1" applyBorder="1" applyAlignment="1">
      <alignment horizontal="center"/>
    </xf>
    <xf numFmtId="180" fontId="0" fillId="10" borderId="69" xfId="0" applyNumberFormat="1" applyFill="1" applyBorder="1" applyAlignment="1">
      <alignment horizontal="center"/>
    </xf>
    <xf numFmtId="180" fontId="0" fillId="10" borderId="33" xfId="0" applyNumberFormat="1" applyFill="1" applyBorder="1" applyAlignment="1">
      <alignment horizontal="center"/>
    </xf>
    <xf numFmtId="180" fontId="0" fillId="10" borderId="67" xfId="0" applyNumberFormat="1" applyFill="1" applyBorder="1" applyAlignment="1">
      <alignment horizontal="center"/>
    </xf>
    <xf numFmtId="180" fontId="0" fillId="10" borderId="0" xfId="0" applyNumberFormat="1" applyFill="1" applyBorder="1" applyAlignment="1">
      <alignment horizontal="center"/>
    </xf>
    <xf numFmtId="180" fontId="0" fillId="10" borderId="75" xfId="0" applyNumberFormat="1" applyFill="1" applyBorder="1" applyAlignment="1">
      <alignment horizontal="center"/>
    </xf>
    <xf numFmtId="180" fontId="0" fillId="2" borderId="29" xfId="0" applyNumberFormat="1" applyFill="1" applyBorder="1" applyAlignment="1">
      <alignment horizontal="center"/>
    </xf>
    <xf numFmtId="180" fontId="0" fillId="2" borderId="71" xfId="0" applyNumberFormat="1" applyFill="1" applyBorder="1" applyAlignment="1">
      <alignment horizontal="center"/>
    </xf>
    <xf numFmtId="180" fontId="0" fillId="2" borderId="33" xfId="0" applyNumberFormat="1" applyFill="1" applyBorder="1" applyAlignment="1">
      <alignment horizontal="center"/>
    </xf>
    <xf numFmtId="180" fontId="0" fillId="2" borderId="67" xfId="0" applyNumberFormat="1" applyFill="1" applyBorder="1" applyAlignment="1">
      <alignment horizontal="center"/>
    </xf>
    <xf numFmtId="180" fontId="0" fillId="2" borderId="7" xfId="0" applyNumberFormat="1" applyFill="1" applyBorder="1" applyAlignment="1">
      <alignment horizontal="center"/>
    </xf>
    <xf numFmtId="180" fontId="0" fillId="2" borderId="72" xfId="0" applyNumberFormat="1" applyFill="1" applyBorder="1" applyAlignment="1">
      <alignment horizontal="center"/>
    </xf>
    <xf numFmtId="180" fontId="0" fillId="7" borderId="1" xfId="0" applyNumberFormat="1" applyFill="1" applyBorder="1" applyAlignment="1">
      <alignment horizontal="center"/>
    </xf>
    <xf numFmtId="180" fontId="0" fillId="7" borderId="73" xfId="0" applyNumberFormat="1" applyFill="1" applyBorder="1" applyAlignment="1">
      <alignment horizontal="center"/>
    </xf>
    <xf numFmtId="180" fontId="0" fillId="7" borderId="3" xfId="0" applyNumberFormat="1" applyFill="1" applyBorder="1" applyAlignment="1">
      <alignment horizontal="center"/>
    </xf>
    <xf numFmtId="180" fontId="0" fillId="7" borderId="32" xfId="0" applyNumberFormat="1" applyFill="1" applyBorder="1" applyAlignment="1">
      <alignment horizontal="center"/>
    </xf>
    <xf numFmtId="180" fontId="0" fillId="7" borderId="35" xfId="0" applyNumberFormat="1" applyFill="1" applyBorder="1" applyAlignment="1">
      <alignment horizontal="center"/>
    </xf>
    <xf numFmtId="180" fontId="0" fillId="7" borderId="6" xfId="0" applyNumberFormat="1" applyFill="1" applyBorder="1" applyAlignment="1">
      <alignment horizontal="center"/>
    </xf>
    <xf numFmtId="180" fontId="0" fillId="7" borderId="8" xfId="0" applyNumberFormat="1" applyFill="1" applyBorder="1" applyAlignment="1">
      <alignment horizontal="center"/>
    </xf>
    <xf numFmtId="180" fontId="0" fillId="10" borderId="4" xfId="0" applyNumberFormat="1" applyFill="1" applyBorder="1" applyAlignment="1">
      <alignment horizontal="center"/>
    </xf>
    <xf numFmtId="180" fontId="0" fillId="10" borderId="5" xfId="0" applyNumberFormat="1" applyFill="1" applyBorder="1" applyAlignment="1">
      <alignment horizontal="center"/>
    </xf>
    <xf numFmtId="180" fontId="0" fillId="10" borderId="32" xfId="0" applyNumberFormat="1" applyFill="1" applyBorder="1" applyAlignment="1">
      <alignment horizontal="center"/>
    </xf>
    <xf numFmtId="180" fontId="0" fillId="10" borderId="35" xfId="0" applyNumberFormat="1" applyFill="1" applyBorder="1" applyAlignment="1">
      <alignment horizontal="center"/>
    </xf>
    <xf numFmtId="176" fontId="0" fillId="7" borderId="1" xfId="0" applyNumberFormat="1" applyFill="1" applyBorder="1" applyAlignment="1">
      <alignment horizontal="center"/>
    </xf>
    <xf numFmtId="176" fontId="0" fillId="7" borderId="73" xfId="0" applyNumberFormat="1" applyFill="1" applyBorder="1" applyAlignment="1">
      <alignment horizontal="center"/>
    </xf>
    <xf numFmtId="176" fontId="0" fillId="7" borderId="3" xfId="0" applyNumberFormat="1" applyFill="1" applyBorder="1" applyAlignment="1">
      <alignment horizontal="center"/>
    </xf>
    <xf numFmtId="176" fontId="0" fillId="7" borderId="32" xfId="0" applyNumberFormat="1" applyFill="1" applyBorder="1" applyAlignment="1">
      <alignment horizontal="center"/>
    </xf>
    <xf numFmtId="176" fontId="0" fillId="7" borderId="67" xfId="0" applyNumberFormat="1" applyFill="1" applyBorder="1" applyAlignment="1">
      <alignment horizontal="center"/>
    </xf>
    <xf numFmtId="176" fontId="0" fillId="7" borderId="35" xfId="0" applyNumberFormat="1" applyFill="1" applyBorder="1" applyAlignment="1">
      <alignment horizontal="center"/>
    </xf>
    <xf numFmtId="176" fontId="0" fillId="7" borderId="6" xfId="0" applyNumberFormat="1" applyFill="1" applyBorder="1" applyAlignment="1">
      <alignment horizontal="center"/>
    </xf>
    <xf numFmtId="176" fontId="0" fillId="7" borderId="72" xfId="0" applyNumberFormat="1" applyFill="1" applyBorder="1" applyAlignment="1">
      <alignment horizontal="center"/>
    </xf>
    <xf numFmtId="176" fontId="0" fillId="7" borderId="8" xfId="0" applyNumberFormat="1" applyFill="1" applyBorder="1" applyAlignment="1">
      <alignment horizontal="center"/>
    </xf>
    <xf numFmtId="0" fontId="0" fillId="4" borderId="174" xfId="0" applyFill="1" applyBorder="1" applyAlignment="1">
      <alignment horizontal="center"/>
    </xf>
    <xf numFmtId="0" fontId="5" fillId="4" borderId="81" xfId="0" applyFont="1" applyFill="1" applyBorder="1" applyAlignment="1">
      <alignment horizontal="center"/>
    </xf>
    <xf numFmtId="0" fontId="5" fillId="4" borderId="103" xfId="0" applyFont="1" applyFill="1" applyBorder="1" applyAlignment="1">
      <alignment horizontal="center"/>
    </xf>
    <xf numFmtId="0" fontId="0" fillId="4" borderId="81" xfId="0" applyFill="1" applyBorder="1" applyAlignment="1">
      <alignment horizontal="center"/>
    </xf>
    <xf numFmtId="0" fontId="0" fillId="4" borderId="91" xfId="0" applyFill="1" applyBorder="1" applyAlignment="1">
      <alignment horizontal="center"/>
    </xf>
    <xf numFmtId="0" fontId="0" fillId="4" borderId="175" xfId="0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0" fillId="3" borderId="95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0" fillId="3" borderId="103" xfId="0" applyFill="1" applyBorder="1" applyAlignment="1">
      <alignment horizontal="center"/>
    </xf>
    <xf numFmtId="0" fontId="0" fillId="3" borderId="65" xfId="0" applyFill="1" applyBorder="1" applyAlignment="1">
      <alignment horizontal="center"/>
    </xf>
    <xf numFmtId="0" fontId="0" fillId="3" borderId="181" xfId="0" applyFill="1" applyBorder="1" applyAlignment="1">
      <alignment horizontal="center"/>
    </xf>
    <xf numFmtId="0" fontId="5" fillId="3" borderId="103" xfId="0" applyFont="1" applyFill="1" applyBorder="1" applyAlignment="1">
      <alignment horizontal="center"/>
    </xf>
    <xf numFmtId="0" fontId="0" fillId="3" borderId="81" xfId="0" applyFill="1" applyBorder="1" applyAlignment="1">
      <alignment horizontal="center"/>
    </xf>
    <xf numFmtId="0" fontId="0" fillId="3" borderId="179" xfId="0" applyFill="1" applyBorder="1" applyAlignment="1">
      <alignment horizontal="center"/>
    </xf>
    <xf numFmtId="0" fontId="0" fillId="3" borderId="64" xfId="0" applyFill="1" applyBorder="1" applyAlignment="1">
      <alignment horizontal="center"/>
    </xf>
    <xf numFmtId="0" fontId="0" fillId="3" borderId="180" xfId="0" applyFill="1" applyBorder="1" applyAlignment="1">
      <alignment horizontal="center"/>
    </xf>
    <xf numFmtId="0" fontId="0" fillId="3" borderId="175" xfId="0" applyFill="1" applyBorder="1" applyAlignment="1">
      <alignment horizontal="center"/>
    </xf>
    <xf numFmtId="168" fontId="0" fillId="5" borderId="35" xfId="0" applyNumberFormat="1" applyFill="1" applyBorder="1" applyAlignment="1">
      <alignment horizontal="center"/>
    </xf>
    <xf numFmtId="166" fontId="0" fillId="10" borderId="69" xfId="0" applyNumberFormat="1" applyFill="1" applyBorder="1" applyAlignment="1">
      <alignment horizontal="center"/>
    </xf>
    <xf numFmtId="166" fontId="0" fillId="10" borderId="67" xfId="0" applyNumberFormat="1" applyFill="1" applyBorder="1" applyAlignment="1">
      <alignment horizontal="center"/>
    </xf>
    <xf numFmtId="2" fontId="0" fillId="10" borderId="49" xfId="0" applyNumberFormat="1" applyFill="1" applyBorder="1" applyAlignment="1">
      <alignment horizontal="center"/>
    </xf>
    <xf numFmtId="1" fontId="0" fillId="10" borderId="70" xfId="0" applyNumberFormat="1" applyFill="1" applyBorder="1" applyAlignment="1">
      <alignment horizontal="center"/>
    </xf>
    <xf numFmtId="1" fontId="0" fillId="10" borderId="50" xfId="0" applyNumberFormat="1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0" fontId="0" fillId="10" borderId="53" xfId="0" applyFill="1" applyBorder="1" applyAlignment="1">
      <alignment horizontal="center"/>
    </xf>
    <xf numFmtId="1" fontId="0" fillId="10" borderId="11" xfId="0" applyNumberFormat="1" applyFill="1" applyBorder="1" applyAlignment="1">
      <alignment horizontal="center"/>
    </xf>
    <xf numFmtId="172" fontId="0" fillId="10" borderId="1" xfId="0" applyNumberFormat="1" applyFill="1" applyBorder="1" applyAlignment="1">
      <alignment horizontal="center"/>
    </xf>
    <xf numFmtId="172" fontId="0" fillId="10" borderId="73" xfId="0" applyNumberFormat="1" applyFill="1" applyBorder="1" applyAlignment="1">
      <alignment horizontal="center"/>
    </xf>
    <xf numFmtId="172" fontId="0" fillId="10" borderId="3" xfId="0" applyNumberFormat="1" applyFill="1" applyBorder="1" applyAlignment="1">
      <alignment horizontal="center"/>
    </xf>
    <xf numFmtId="171" fontId="7" fillId="15" borderId="2" xfId="1" applyNumberFormat="1" applyFill="1" applyBorder="1" applyAlignment="1">
      <alignment horizontal="center"/>
    </xf>
    <xf numFmtId="171" fontId="7" fillId="15" borderId="73" xfId="1" applyNumberFormat="1" applyFill="1" applyBorder="1" applyAlignment="1">
      <alignment horizontal="center"/>
    </xf>
    <xf numFmtId="164" fontId="0" fillId="10" borderId="34" xfId="0" applyNumberFormat="1" applyFill="1" applyBorder="1" applyAlignment="1">
      <alignment horizontal="center"/>
    </xf>
    <xf numFmtId="171" fontId="7" fillId="15" borderId="33" xfId="1" applyNumberFormat="1" applyFill="1" applyBorder="1" applyAlignment="1">
      <alignment horizontal="center"/>
    </xf>
    <xf numFmtId="171" fontId="7" fillId="15" borderId="67" xfId="1" applyNumberFormat="1" applyFill="1" applyBorder="1" applyAlignment="1">
      <alignment horizontal="center"/>
    </xf>
    <xf numFmtId="172" fontId="0" fillId="10" borderId="44" xfId="0" applyNumberFormat="1" applyFill="1" applyBorder="1" applyAlignment="1">
      <alignment horizontal="center"/>
    </xf>
    <xf numFmtId="171" fontId="7" fillId="15" borderId="135" xfId="1" applyNumberFormat="1" applyFill="1" applyBorder="1" applyAlignment="1">
      <alignment horizontal="center"/>
    </xf>
    <xf numFmtId="171" fontId="7" fillId="15" borderId="141" xfId="1" applyNumberFormat="1" applyFill="1" applyBorder="1" applyAlignment="1">
      <alignment horizontal="center"/>
    </xf>
    <xf numFmtId="169" fontId="0" fillId="10" borderId="41" xfId="0" applyNumberFormat="1" applyFill="1" applyBorder="1" applyAlignment="1">
      <alignment horizontal="center"/>
    </xf>
    <xf numFmtId="168" fontId="7" fillId="15" borderId="133" xfId="1" applyNumberFormat="1" applyFill="1" applyBorder="1" applyAlignment="1">
      <alignment horizontal="center"/>
    </xf>
    <xf numFmtId="168" fontId="7" fillId="15" borderId="142" xfId="1" applyNumberFormat="1" applyFill="1" applyBorder="1" applyAlignment="1">
      <alignment horizontal="center"/>
    </xf>
    <xf numFmtId="172" fontId="0" fillId="10" borderId="6" xfId="0" applyNumberFormat="1" applyFill="1" applyBorder="1" applyAlignment="1">
      <alignment horizontal="center"/>
    </xf>
    <xf numFmtId="172" fontId="0" fillId="10" borderId="8" xfId="0" applyNumberFormat="1" applyFill="1" applyBorder="1" applyAlignment="1">
      <alignment horizontal="center"/>
    </xf>
    <xf numFmtId="168" fontId="7" fillId="15" borderId="146" xfId="1" applyNumberFormat="1" applyFill="1" applyBorder="1" applyAlignment="1">
      <alignment horizontal="center"/>
    </xf>
    <xf numFmtId="168" fontId="7" fillId="15" borderId="147" xfId="1" applyNumberFormat="1" applyFill="1" applyBorder="1" applyAlignment="1">
      <alignment horizontal="center"/>
    </xf>
    <xf numFmtId="174" fontId="0" fillId="10" borderId="2" xfId="0" applyNumberFormat="1" applyFill="1" applyBorder="1" applyAlignment="1">
      <alignment horizontal="center"/>
    </xf>
    <xf numFmtId="174" fontId="0" fillId="10" borderId="110" xfId="0" applyNumberFormat="1" applyFill="1" applyBorder="1" applyAlignment="1">
      <alignment horizontal="center"/>
    </xf>
    <xf numFmtId="2" fontId="0" fillId="10" borderId="71" xfId="0" applyNumberFormat="1" applyFill="1" applyBorder="1" applyAlignment="1">
      <alignment horizontal="center"/>
    </xf>
    <xf numFmtId="167" fontId="0" fillId="10" borderId="71" xfId="0" applyNumberFormat="1" applyFill="1" applyBorder="1" applyAlignment="1">
      <alignment horizontal="center"/>
    </xf>
    <xf numFmtId="1" fontId="0" fillId="10" borderId="7" xfId="0" applyNumberFormat="1" applyFill="1" applyBorder="1" applyAlignment="1">
      <alignment horizontal="center"/>
    </xf>
    <xf numFmtId="170" fontId="0" fillId="10" borderId="71" xfId="0" applyNumberFormat="1" applyFill="1" applyBorder="1" applyAlignment="1">
      <alignment horizontal="center"/>
    </xf>
    <xf numFmtId="167" fontId="0" fillId="10" borderId="72" xfId="0" applyNumberFormat="1" applyFill="1" applyBorder="1" applyAlignment="1">
      <alignment horizontal="center"/>
    </xf>
    <xf numFmtId="170" fontId="0" fillId="10" borderId="72" xfId="0" applyNumberFormat="1" applyFill="1" applyBorder="1" applyAlignment="1">
      <alignment horizontal="center"/>
    </xf>
    <xf numFmtId="2" fontId="0" fillId="10" borderId="7" xfId="0" applyNumberFormat="1" applyFill="1" applyBorder="1" applyAlignment="1">
      <alignment horizontal="center"/>
    </xf>
    <xf numFmtId="11" fontId="0" fillId="10" borderId="37" xfId="0" applyNumberFormat="1" applyFill="1" applyBorder="1" applyAlignment="1">
      <alignment horizontal="center"/>
    </xf>
    <xf numFmtId="11" fontId="0" fillId="10" borderId="70" xfId="0" applyNumberFormat="1" applyFill="1" applyBorder="1" applyAlignment="1">
      <alignment horizontal="center"/>
    </xf>
    <xf numFmtId="0" fontId="0" fillId="10" borderId="121" xfId="0" applyFill="1" applyBorder="1" applyAlignment="1">
      <alignment horizontal="center"/>
    </xf>
    <xf numFmtId="0" fontId="0" fillId="10" borderId="122" xfId="0" applyFill="1" applyBorder="1" applyAlignment="1">
      <alignment horizontal="center"/>
    </xf>
    <xf numFmtId="175" fontId="0" fillId="10" borderId="121" xfId="0" applyNumberFormat="1" applyFill="1" applyBorder="1" applyAlignment="1">
      <alignment horizontal="center"/>
    </xf>
    <xf numFmtId="0" fontId="0" fillId="10" borderId="110" xfId="0" applyFill="1" applyBorder="1" applyAlignment="1">
      <alignment horizontal="center"/>
    </xf>
    <xf numFmtId="175" fontId="0" fillId="10" borderId="110" xfId="0" applyNumberFormat="1" applyFill="1" applyBorder="1" applyAlignment="1">
      <alignment horizontal="center"/>
    </xf>
    <xf numFmtId="0" fontId="0" fillId="10" borderId="118" xfId="0" applyFill="1" applyBorder="1" applyAlignment="1">
      <alignment horizontal="center"/>
    </xf>
    <xf numFmtId="0" fontId="0" fillId="10" borderId="119" xfId="0" applyFill="1" applyBorder="1" applyAlignment="1">
      <alignment horizontal="center"/>
    </xf>
    <xf numFmtId="175" fontId="0" fillId="10" borderId="118" xfId="0" applyNumberFormat="1" applyFill="1" applyBorder="1" applyAlignment="1">
      <alignment horizontal="center"/>
    </xf>
    <xf numFmtId="173" fontId="0" fillId="10" borderId="28" xfId="0" applyNumberFormat="1" applyFill="1" applyBorder="1" applyAlignment="1">
      <alignment horizontal="center"/>
    </xf>
    <xf numFmtId="171" fontId="0" fillId="10" borderId="71" xfId="0" applyNumberFormat="1" applyFill="1" applyBorder="1" applyAlignment="1">
      <alignment horizontal="center"/>
    </xf>
    <xf numFmtId="171" fontId="0" fillId="10" borderId="31" xfId="0" applyNumberFormat="1" applyFill="1" applyBorder="1" applyAlignment="1">
      <alignment horizontal="center"/>
    </xf>
    <xf numFmtId="173" fontId="0" fillId="10" borderId="36" xfId="0" applyNumberFormat="1" applyFill="1" applyBorder="1" applyAlignment="1">
      <alignment horizontal="center"/>
    </xf>
    <xf numFmtId="171" fontId="0" fillId="10" borderId="39" xfId="0" applyNumberFormat="1" applyFill="1" applyBorder="1" applyAlignment="1">
      <alignment horizontal="center"/>
    </xf>
    <xf numFmtId="175" fontId="0" fillId="10" borderId="124" xfId="0" applyNumberFormat="1" applyFill="1" applyBorder="1" applyAlignment="1">
      <alignment horizontal="center"/>
    </xf>
    <xf numFmtId="0" fontId="0" fillId="10" borderId="111" xfId="0" applyFill="1" applyBorder="1" applyAlignment="1">
      <alignment horizontal="center"/>
    </xf>
    <xf numFmtId="0" fontId="0" fillId="10" borderId="112" xfId="0" applyFill="1" applyBorder="1" applyAlignment="1">
      <alignment horizontal="center"/>
    </xf>
    <xf numFmtId="175" fontId="0" fillId="10" borderId="112" xfId="0" applyNumberFormat="1" applyFill="1" applyBorder="1" applyAlignment="1">
      <alignment horizontal="center"/>
    </xf>
    <xf numFmtId="175" fontId="0" fillId="10" borderId="140" xfId="0" applyNumberForma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1" fontId="0" fillId="5" borderId="28" xfId="0" applyNumberFormat="1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167" fontId="0" fillId="5" borderId="28" xfId="0" applyNumberFormat="1" applyFill="1" applyBorder="1" applyAlignment="1">
      <alignment horizontal="center"/>
    </xf>
    <xf numFmtId="1" fontId="0" fillId="5" borderId="71" xfId="0" applyNumberFormat="1" applyFill="1" applyBorder="1" applyAlignment="1">
      <alignment horizontal="center"/>
    </xf>
    <xf numFmtId="167" fontId="0" fillId="5" borderId="71" xfId="0" applyNumberFormat="1" applyFill="1" applyBorder="1" applyAlignment="1">
      <alignment horizontal="center"/>
    </xf>
    <xf numFmtId="167" fontId="0" fillId="5" borderId="31" xfId="0" applyNumberFormat="1" applyFill="1" applyBorder="1" applyAlignment="1">
      <alignment horizontal="center"/>
    </xf>
    <xf numFmtId="2" fontId="0" fillId="5" borderId="71" xfId="0" applyNumberFormat="1" applyFill="1" applyBorder="1" applyAlignment="1">
      <alignment horizontal="center"/>
    </xf>
    <xf numFmtId="2" fontId="0" fillId="5" borderId="31" xfId="0" applyNumberFormat="1" applyFill="1" applyBorder="1" applyAlignment="1">
      <alignment horizontal="center"/>
    </xf>
    <xf numFmtId="175" fontId="0" fillId="5" borderId="1" xfId="0" applyNumberFormat="1" applyFill="1" applyBorder="1" applyAlignment="1">
      <alignment horizontal="center"/>
    </xf>
    <xf numFmtId="175" fontId="0" fillId="5" borderId="73" xfId="0" applyNumberFormat="1" applyFill="1" applyBorder="1" applyAlignment="1">
      <alignment horizontal="center"/>
    </xf>
    <xf numFmtId="175" fontId="0" fillId="5" borderId="3" xfId="0" applyNumberFormat="1" applyFill="1" applyBorder="1" applyAlignment="1">
      <alignment horizontal="center"/>
    </xf>
    <xf numFmtId="2" fontId="0" fillId="5" borderId="32" xfId="0" applyNumberFormat="1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170" fontId="0" fillId="5" borderId="32" xfId="0" applyNumberFormat="1" applyFill="1" applyBorder="1" applyAlignment="1">
      <alignment horizontal="center"/>
    </xf>
    <xf numFmtId="167" fontId="0" fillId="5" borderId="67" xfId="0" applyNumberFormat="1" applyFill="1" applyBorder="1" applyAlignment="1">
      <alignment horizontal="center"/>
    </xf>
    <xf numFmtId="170" fontId="0" fillId="5" borderId="67" xfId="0" applyNumberFormat="1" applyFill="1" applyBorder="1" applyAlignment="1">
      <alignment horizontal="center"/>
    </xf>
    <xf numFmtId="170" fontId="0" fillId="5" borderId="35" xfId="0" applyNumberFormat="1" applyFill="1" applyBorder="1" applyAlignment="1">
      <alignment horizontal="center"/>
    </xf>
    <xf numFmtId="168" fontId="0" fillId="5" borderId="33" xfId="0" applyNumberFormat="1" applyFill="1" applyBorder="1" applyAlignment="1">
      <alignment horizontal="center"/>
    </xf>
    <xf numFmtId="168" fontId="0" fillId="5" borderId="67" xfId="0" applyNumberFormat="1" applyFill="1" applyBorder="1" applyAlignment="1">
      <alignment horizontal="center"/>
    </xf>
    <xf numFmtId="2" fontId="0" fillId="5" borderId="35" xfId="0" applyNumberFormat="1" applyFill="1" applyBorder="1" applyAlignment="1">
      <alignment horizontal="center"/>
    </xf>
    <xf numFmtId="175" fontId="0" fillId="5" borderId="32" xfId="0" applyNumberFormat="1" applyFill="1" applyBorder="1" applyAlignment="1">
      <alignment horizontal="center"/>
    </xf>
    <xf numFmtId="175" fontId="0" fillId="5" borderId="67" xfId="0" applyNumberFormat="1" applyFill="1" applyBorder="1" applyAlignment="1">
      <alignment horizontal="center"/>
    </xf>
    <xf numFmtId="175" fontId="0" fillId="5" borderId="35" xfId="0" applyNumberFormat="1" applyFill="1" applyBorder="1" applyAlignment="1">
      <alignment horizontal="center"/>
    </xf>
    <xf numFmtId="164" fontId="0" fillId="5" borderId="32" xfId="0" applyNumberFormat="1" applyFill="1" applyBorder="1" applyAlignment="1">
      <alignment horizontal="center"/>
    </xf>
    <xf numFmtId="1" fontId="0" fillId="5" borderId="67" xfId="0" applyNumberFormat="1" applyFill="1" applyBorder="1" applyAlignment="1">
      <alignment horizontal="center"/>
    </xf>
    <xf numFmtId="1" fontId="0" fillId="5" borderId="33" xfId="0" applyNumberFormat="1" applyFill="1" applyBorder="1" applyAlignment="1">
      <alignment horizontal="center"/>
    </xf>
    <xf numFmtId="2" fontId="0" fillId="5" borderId="67" xfId="0" applyNumberFormat="1" applyFill="1" applyBorder="1" applyAlignment="1">
      <alignment horizontal="center"/>
    </xf>
    <xf numFmtId="1" fontId="0" fillId="5" borderId="35" xfId="0" applyNumberFormat="1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164" fontId="0" fillId="5" borderId="36" xfId="0" applyNumberFormat="1" applyFill="1" applyBorder="1" applyAlignment="1">
      <alignment horizontal="center"/>
    </xf>
    <xf numFmtId="1" fontId="0" fillId="5" borderId="70" xfId="0" applyNumberFormat="1" applyFill="1" applyBorder="1" applyAlignment="1">
      <alignment horizontal="center"/>
    </xf>
    <xf numFmtId="164" fontId="0" fillId="5" borderId="70" xfId="0" applyNumberFormat="1" applyFill="1" applyBorder="1" applyAlignment="1">
      <alignment horizontal="center"/>
    </xf>
    <xf numFmtId="167" fontId="0" fillId="5" borderId="39" xfId="0" applyNumberFormat="1" applyFill="1" applyBorder="1" applyAlignment="1">
      <alignment horizontal="center"/>
    </xf>
    <xf numFmtId="2" fontId="0" fillId="5" borderId="37" xfId="0" applyNumberFormat="1" applyFill="1" applyBorder="1" applyAlignment="1">
      <alignment horizontal="center"/>
    </xf>
    <xf numFmtId="175" fontId="0" fillId="5" borderId="45" xfId="0" applyNumberFormat="1" applyFill="1" applyBorder="1" applyAlignment="1">
      <alignment horizontal="center"/>
    </xf>
    <xf numFmtId="175" fontId="0" fillId="5" borderId="68" xfId="0" applyNumberFormat="1" applyFill="1" applyBorder="1" applyAlignment="1">
      <alignment horizontal="center"/>
    </xf>
    <xf numFmtId="175" fontId="0" fillId="5" borderId="46" xfId="0" applyNumberFormat="1" applyFill="1" applyBorder="1" applyAlignment="1">
      <alignment horizontal="center"/>
    </xf>
    <xf numFmtId="174" fontId="0" fillId="5" borderId="29" xfId="0" applyNumberFormat="1" applyFill="1" applyBorder="1" applyAlignment="1">
      <alignment horizontal="center"/>
    </xf>
    <xf numFmtId="174" fontId="0" fillId="5" borderId="71" xfId="0" applyNumberFormat="1" applyFill="1" applyBorder="1" applyAlignment="1">
      <alignment horizontal="center"/>
    </xf>
    <xf numFmtId="172" fontId="0" fillId="5" borderId="28" xfId="0" applyNumberFormat="1" applyFill="1" applyBorder="1" applyAlignment="1">
      <alignment horizontal="center"/>
    </xf>
    <xf numFmtId="172" fontId="0" fillId="5" borderId="71" xfId="0" applyNumberFormat="1" applyFill="1" applyBorder="1" applyAlignment="1">
      <alignment horizontal="center"/>
    </xf>
    <xf numFmtId="172" fontId="0" fillId="5" borderId="31" xfId="0" applyNumberFormat="1" applyFill="1" applyBorder="1" applyAlignment="1">
      <alignment horizontal="center"/>
    </xf>
    <xf numFmtId="174" fontId="0" fillId="5" borderId="33" xfId="0" applyNumberFormat="1" applyFill="1" applyBorder="1" applyAlignment="1">
      <alignment horizontal="center"/>
    </xf>
    <xf numFmtId="174" fontId="0" fillId="5" borderId="67" xfId="0" applyNumberFormat="1" applyFill="1" applyBorder="1" applyAlignment="1">
      <alignment horizontal="center"/>
    </xf>
    <xf numFmtId="172" fontId="0" fillId="5" borderId="32" xfId="0" applyNumberFormat="1" applyFill="1" applyBorder="1" applyAlignment="1">
      <alignment horizontal="center"/>
    </xf>
    <xf numFmtId="172" fontId="0" fillId="5" borderId="67" xfId="0" applyNumberFormat="1" applyFill="1" applyBorder="1" applyAlignment="1">
      <alignment horizontal="center"/>
    </xf>
    <xf numFmtId="172" fontId="0" fillId="5" borderId="35" xfId="0" applyNumberFormat="1" applyFill="1" applyBorder="1" applyAlignment="1">
      <alignment horizontal="center"/>
    </xf>
    <xf numFmtId="171" fontId="0" fillId="5" borderId="33" xfId="0" applyNumberFormat="1" applyFill="1" applyBorder="1" applyAlignment="1">
      <alignment horizontal="center"/>
    </xf>
    <xf numFmtId="171" fontId="0" fillId="5" borderId="67" xfId="0" applyNumberFormat="1" applyFill="1" applyBorder="1" applyAlignment="1">
      <alignment horizontal="center"/>
    </xf>
    <xf numFmtId="168" fontId="0" fillId="5" borderId="32" xfId="0" applyNumberFormat="1" applyFill="1" applyBorder="1" applyAlignment="1">
      <alignment horizontal="center"/>
    </xf>
    <xf numFmtId="2" fontId="0" fillId="5" borderId="33" xfId="0" applyNumberFormat="1" applyFill="1" applyBorder="1" applyAlignment="1">
      <alignment horizontal="center"/>
    </xf>
    <xf numFmtId="172" fontId="0" fillId="5" borderId="37" xfId="0" applyNumberFormat="1" applyFill="1" applyBorder="1" applyAlignment="1">
      <alignment horizontal="center"/>
    </xf>
    <xf numFmtId="171" fontId="0" fillId="5" borderId="70" xfId="0" applyNumberFormat="1" applyFill="1" applyBorder="1" applyAlignment="1">
      <alignment horizontal="center"/>
    </xf>
    <xf numFmtId="168" fontId="0" fillId="5" borderId="37" xfId="0" applyNumberFormat="1" applyFill="1" applyBorder="1" applyAlignment="1">
      <alignment horizontal="center"/>
    </xf>
    <xf numFmtId="170" fontId="0" fillId="5" borderId="36" xfId="0" applyNumberFormat="1" applyFill="1" applyBorder="1" applyAlignment="1">
      <alignment horizontal="center"/>
    </xf>
    <xf numFmtId="168" fontId="0" fillId="5" borderId="70" xfId="0" applyNumberFormat="1" applyFill="1" applyBorder="1" applyAlignment="1">
      <alignment horizontal="center"/>
    </xf>
    <xf numFmtId="171" fontId="0" fillId="5" borderId="28" xfId="0" applyNumberFormat="1" applyFill="1" applyBorder="1" applyAlignment="1">
      <alignment horizontal="center"/>
    </xf>
    <xf numFmtId="171" fontId="0" fillId="5" borderId="71" xfId="0" applyNumberFormat="1" applyFill="1" applyBorder="1" applyAlignment="1">
      <alignment horizontal="center"/>
    </xf>
    <xf numFmtId="168" fontId="0" fillId="5" borderId="71" xfId="0" applyNumberFormat="1" applyFill="1" applyBorder="1" applyAlignment="1">
      <alignment horizontal="center"/>
    </xf>
    <xf numFmtId="171" fontId="0" fillId="5" borderId="31" xfId="0" applyNumberFormat="1" applyFill="1" applyBorder="1" applyAlignment="1">
      <alignment horizontal="center"/>
    </xf>
    <xf numFmtId="168" fontId="0" fillId="5" borderId="28" xfId="0" applyNumberFormat="1" applyFill="1" applyBorder="1" applyAlignment="1">
      <alignment horizontal="center"/>
    </xf>
    <xf numFmtId="166" fontId="0" fillId="5" borderId="71" xfId="0" applyNumberFormat="1" applyFill="1" applyBorder="1" applyAlignment="1">
      <alignment horizontal="center"/>
    </xf>
    <xf numFmtId="168" fontId="0" fillId="5" borderId="31" xfId="0" applyNumberFormat="1" applyFill="1" applyBorder="1" applyAlignment="1">
      <alignment horizontal="center"/>
    </xf>
    <xf numFmtId="171" fontId="0" fillId="5" borderId="32" xfId="0" applyNumberFormat="1" applyFill="1" applyBorder="1" applyAlignment="1">
      <alignment horizontal="center"/>
    </xf>
    <xf numFmtId="171" fontId="0" fillId="5" borderId="35" xfId="0" applyNumberFormat="1" applyFill="1" applyBorder="1" applyAlignment="1">
      <alignment horizontal="center"/>
    </xf>
    <xf numFmtId="166" fontId="0" fillId="5" borderId="67" xfId="0" applyNumberFormat="1" applyFill="1" applyBorder="1" applyAlignment="1">
      <alignment horizontal="center"/>
    </xf>
    <xf numFmtId="171" fontId="0" fillId="5" borderId="36" xfId="0" applyNumberFormat="1" applyFill="1" applyBorder="1" applyAlignment="1">
      <alignment horizontal="center"/>
    </xf>
    <xf numFmtId="171" fontId="0" fillId="5" borderId="39" xfId="0" applyNumberFormat="1" applyFill="1" applyBorder="1" applyAlignment="1">
      <alignment horizontal="center"/>
    </xf>
    <xf numFmtId="175" fontId="0" fillId="5" borderId="36" xfId="0" applyNumberFormat="1" applyFill="1" applyBorder="1" applyAlignment="1">
      <alignment horizontal="center"/>
    </xf>
    <xf numFmtId="175" fontId="0" fillId="5" borderId="70" xfId="0" applyNumberFormat="1" applyFill="1" applyBorder="1" applyAlignment="1">
      <alignment horizontal="center"/>
    </xf>
    <xf numFmtId="175" fontId="0" fillId="5" borderId="39" xfId="0" applyNumberFormat="1" applyFill="1" applyBorder="1" applyAlignment="1">
      <alignment horizontal="center"/>
    </xf>
    <xf numFmtId="2" fontId="0" fillId="5" borderId="28" xfId="0" applyNumberFormat="1" applyFill="1" applyBorder="1" applyAlignment="1">
      <alignment horizontal="center"/>
    </xf>
    <xf numFmtId="170" fontId="0" fillId="5" borderId="71" xfId="0" applyNumberFormat="1" applyFill="1" applyBorder="1" applyAlignment="1">
      <alignment horizontal="center"/>
    </xf>
    <xf numFmtId="169" fontId="0" fillId="5" borderId="71" xfId="0" applyNumberFormat="1" applyFill="1" applyBorder="1" applyAlignment="1">
      <alignment horizontal="center"/>
    </xf>
    <xf numFmtId="169" fontId="0" fillId="5" borderId="67" xfId="0" applyNumberFormat="1" applyFill="1" applyBorder="1" applyAlignment="1">
      <alignment horizontal="center"/>
    </xf>
    <xf numFmtId="1" fontId="0" fillId="5" borderId="45" xfId="0" applyNumberFormat="1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2" fontId="0" fillId="5" borderId="45" xfId="0" applyNumberFormat="1" applyFill="1" applyBorder="1" applyAlignment="1">
      <alignment horizontal="center"/>
    </xf>
    <xf numFmtId="2" fontId="0" fillId="5" borderId="68" xfId="0" applyNumberFormat="1" applyFill="1" applyBorder="1" applyAlignment="1">
      <alignment horizontal="center"/>
    </xf>
    <xf numFmtId="170" fontId="0" fillId="5" borderId="68" xfId="0" applyNumberFormat="1" applyFill="1" applyBorder="1" applyAlignment="1">
      <alignment horizontal="center"/>
    </xf>
    <xf numFmtId="2" fontId="0" fillId="5" borderId="46" xfId="0" applyNumberFormat="1" applyFill="1" applyBorder="1" applyAlignment="1">
      <alignment horizontal="center"/>
    </xf>
    <xf numFmtId="169" fontId="0" fillId="5" borderId="68" xfId="0" applyNumberFormat="1" applyFill="1" applyBorder="1" applyAlignment="1">
      <alignment horizontal="center"/>
    </xf>
    <xf numFmtId="175" fontId="0" fillId="5" borderId="41" xfId="0" applyNumberFormat="1" applyFill="1" applyBorder="1" applyAlignment="1">
      <alignment horizontal="center"/>
    </xf>
    <xf numFmtId="175" fontId="0" fillId="5" borderId="69" xfId="0" applyNumberFormat="1" applyFill="1" applyBorder="1" applyAlignment="1">
      <alignment horizontal="center"/>
    </xf>
    <xf numFmtId="175" fontId="0" fillId="5" borderId="44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5" borderId="5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" fontId="0" fillId="5" borderId="11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5" borderId="73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1" fontId="0" fillId="5" borderId="34" xfId="0" applyNumberFormat="1" applyFill="1" applyBorder="1" applyAlignment="1">
      <alignment horizontal="center"/>
    </xf>
    <xf numFmtId="170" fontId="0" fillId="5" borderId="33" xfId="0" applyNumberFormat="1" applyFill="1" applyBorder="1" applyAlignment="1">
      <alignment horizontal="center"/>
    </xf>
    <xf numFmtId="164" fontId="0" fillId="5" borderId="45" xfId="0" applyNumberFormat="1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1" fontId="0" fillId="5" borderId="48" xfId="0" applyNumberFormat="1" applyFill="1" applyBorder="1" applyAlignment="1">
      <alignment horizontal="center"/>
    </xf>
    <xf numFmtId="170" fontId="0" fillId="5" borderId="45" xfId="0" applyNumberFormat="1" applyFill="1" applyBorder="1" applyAlignment="1">
      <alignment horizontal="center"/>
    </xf>
    <xf numFmtId="170" fontId="0" fillId="5" borderId="46" xfId="0" applyNumberFormat="1" applyFill="1" applyBorder="1" applyAlignment="1">
      <alignment horizontal="center"/>
    </xf>
    <xf numFmtId="170" fontId="0" fillId="5" borderId="40" xfId="0" applyNumberFormat="1" applyFill="1" applyBorder="1" applyAlignment="1">
      <alignment horizontal="center"/>
    </xf>
    <xf numFmtId="175" fontId="0" fillId="5" borderId="4" xfId="0" applyNumberFormat="1" applyFill="1" applyBorder="1" applyAlignment="1">
      <alignment horizontal="center"/>
    </xf>
    <xf numFmtId="175" fontId="0" fillId="5" borderId="75" xfId="0" applyNumberFormat="1" applyFill="1" applyBorder="1" applyAlignment="1">
      <alignment horizontal="center"/>
    </xf>
    <xf numFmtId="175" fontId="0" fillId="5" borderId="5" xfId="0" applyNumberFormat="1" applyFill="1" applyBorder="1" applyAlignment="1">
      <alignment horizontal="center"/>
    </xf>
    <xf numFmtId="1" fontId="0" fillId="5" borderId="30" xfId="0" applyNumberFormat="1" applyFill="1" applyBorder="1" applyAlignment="1">
      <alignment horizontal="center"/>
    </xf>
    <xf numFmtId="169" fontId="0" fillId="5" borderId="35" xfId="0" applyNumberFormat="1" applyFill="1" applyBorder="1" applyAlignment="1">
      <alignment horizontal="center"/>
    </xf>
    <xf numFmtId="169" fontId="0" fillId="5" borderId="33" xfId="0" applyNumberFormat="1" applyFill="1" applyBorder="1" applyAlignment="1">
      <alignment horizontal="center"/>
    </xf>
    <xf numFmtId="164" fontId="0" fillId="5" borderId="48" xfId="0" applyNumberFormat="1" applyFill="1" applyBorder="1" applyAlignment="1">
      <alignment horizontal="center"/>
    </xf>
    <xf numFmtId="172" fontId="0" fillId="5" borderId="45" xfId="0" applyNumberFormat="1" applyFill="1" applyBorder="1" applyAlignment="1">
      <alignment horizontal="center"/>
    </xf>
    <xf numFmtId="172" fontId="0" fillId="5" borderId="68" xfId="0" applyNumberFormat="1" applyFill="1" applyBorder="1" applyAlignment="1">
      <alignment horizontal="center"/>
    </xf>
    <xf numFmtId="172" fontId="0" fillId="5" borderId="46" xfId="0" applyNumberFormat="1" applyFill="1" applyBorder="1" applyAlignment="1">
      <alignment horizontal="center"/>
    </xf>
    <xf numFmtId="172" fontId="0" fillId="5" borderId="40" xfId="0" applyNumberFormat="1" applyFill="1" applyBorder="1" applyAlignment="1">
      <alignment horizontal="center"/>
    </xf>
    <xf numFmtId="179" fontId="7" fillId="20" borderId="152" xfId="1" applyNumberFormat="1" applyFill="1" applyBorder="1" applyAlignment="1">
      <alignment horizontal="center"/>
    </xf>
    <xf numFmtId="179" fontId="7" fillId="20" borderId="145" xfId="1" applyNumberFormat="1" applyFill="1" applyBorder="1" applyAlignment="1">
      <alignment horizontal="center"/>
    </xf>
    <xf numFmtId="179" fontId="7" fillId="20" borderId="153" xfId="1" applyNumberFormat="1" applyFill="1" applyBorder="1" applyAlignment="1">
      <alignment horizontal="center"/>
    </xf>
    <xf numFmtId="175" fontId="0" fillId="5" borderId="29" xfId="0" applyNumberFormat="1" applyFill="1" applyBorder="1" applyAlignment="1">
      <alignment horizontal="center"/>
    </xf>
    <xf numFmtId="175" fontId="0" fillId="5" borderId="71" xfId="0" applyNumberFormat="1" applyFill="1" applyBorder="1" applyAlignment="1">
      <alignment horizontal="center"/>
    </xf>
    <xf numFmtId="175" fontId="0" fillId="5" borderId="31" xfId="0" applyNumberFormat="1" applyFill="1" applyBorder="1" applyAlignment="1">
      <alignment horizontal="center"/>
    </xf>
    <xf numFmtId="169" fontId="0" fillId="5" borderId="32" xfId="0" applyNumberFormat="1" applyFill="1" applyBorder="1" applyAlignment="1">
      <alignment horizontal="center"/>
    </xf>
    <xf numFmtId="179" fontId="7" fillId="20" borderId="154" xfId="1" applyNumberFormat="1" applyFill="1" applyBorder="1" applyAlignment="1">
      <alignment horizontal="center"/>
    </xf>
    <xf numFmtId="179" fontId="7" fillId="20" borderId="142" xfId="1" applyNumberFormat="1" applyFill="1" applyBorder="1" applyAlignment="1">
      <alignment horizontal="center"/>
    </xf>
    <xf numFmtId="179" fontId="7" fillId="20" borderId="155" xfId="1" applyNumberFormat="1" applyFill="1" applyBorder="1" applyAlignment="1">
      <alignment horizontal="center"/>
    </xf>
    <xf numFmtId="175" fontId="0" fillId="5" borderId="42" xfId="0" applyNumberFormat="1" applyFill="1" applyBorder="1" applyAlignment="1">
      <alignment horizontal="center"/>
    </xf>
    <xf numFmtId="169" fontId="0" fillId="5" borderId="36" xfId="0" applyNumberFormat="1" applyFill="1" applyBorder="1" applyAlignment="1">
      <alignment horizontal="center"/>
    </xf>
    <xf numFmtId="169" fontId="0" fillId="5" borderId="70" xfId="0" applyNumberFormat="1" applyFill="1" applyBorder="1" applyAlignment="1">
      <alignment horizontal="center"/>
    </xf>
    <xf numFmtId="169" fontId="0" fillId="5" borderId="39" xfId="0" applyNumberFormat="1" applyFill="1" applyBorder="1" applyAlignment="1">
      <alignment horizontal="center"/>
    </xf>
    <xf numFmtId="179" fontId="7" fillId="20" borderId="156" xfId="1" applyNumberFormat="1" applyFill="1" applyBorder="1" applyAlignment="1">
      <alignment horizontal="center"/>
    </xf>
    <xf numFmtId="179" fontId="7" fillId="20" borderId="147" xfId="1" applyNumberFormat="1" applyFill="1" applyBorder="1" applyAlignment="1">
      <alignment horizontal="center"/>
    </xf>
    <xf numFmtId="179" fontId="7" fillId="20" borderId="157" xfId="1" applyNumberFormat="1" applyFill="1" applyBorder="1" applyAlignment="1">
      <alignment horizontal="center"/>
    </xf>
    <xf numFmtId="175" fontId="0" fillId="5" borderId="7" xfId="0" applyNumberFormat="1" applyFill="1" applyBorder="1" applyAlignment="1">
      <alignment horizontal="center"/>
    </xf>
    <xf numFmtId="175" fontId="0" fillId="5" borderId="72" xfId="0" applyNumberFormat="1" applyFill="1" applyBorder="1" applyAlignment="1">
      <alignment horizontal="center"/>
    </xf>
    <xf numFmtId="175" fontId="0" fillId="5" borderId="8" xfId="0" applyNumberFormat="1" applyFill="1" applyBorder="1" applyAlignment="1">
      <alignment horizontal="center"/>
    </xf>
    <xf numFmtId="164" fontId="0" fillId="5" borderId="41" xfId="0" applyNumberFormat="1" applyFill="1" applyBorder="1" applyAlignment="1">
      <alignment horizontal="center"/>
    </xf>
    <xf numFmtId="1" fontId="0" fillId="5" borderId="43" xfId="0" applyNumberFormat="1" applyFill="1" applyBorder="1" applyAlignment="1">
      <alignment horizontal="center"/>
    </xf>
    <xf numFmtId="2" fontId="0" fillId="5" borderId="41" xfId="0" applyNumberFormat="1" applyFill="1" applyBorder="1" applyAlignment="1">
      <alignment horizontal="center"/>
    </xf>
    <xf numFmtId="2" fontId="0" fillId="5" borderId="69" xfId="0" applyNumberFormat="1" applyFill="1" applyBorder="1" applyAlignment="1">
      <alignment horizontal="center"/>
    </xf>
    <xf numFmtId="2" fontId="0" fillId="5" borderId="44" xfId="0" applyNumberFormat="1" applyFill="1" applyBorder="1" applyAlignment="1">
      <alignment horizontal="center"/>
    </xf>
    <xf numFmtId="177" fontId="7" fillId="20" borderId="127" xfId="1" applyFill="1" applyBorder="1" applyAlignment="1">
      <alignment horizontal="center"/>
    </xf>
    <xf numFmtId="177" fontId="7" fillId="20" borderId="141" xfId="1" applyFill="1" applyBorder="1" applyAlignment="1">
      <alignment horizontal="center"/>
    </xf>
    <xf numFmtId="177" fontId="7" fillId="20" borderId="128" xfId="1" applyFill="1" applyBorder="1" applyAlignment="1">
      <alignment horizontal="center"/>
    </xf>
    <xf numFmtId="177" fontId="7" fillId="20" borderId="129" xfId="1" applyFill="1" applyBorder="1" applyAlignment="1">
      <alignment horizontal="center"/>
    </xf>
    <xf numFmtId="177" fontId="7" fillId="20" borderId="142" xfId="1" applyFill="1" applyBorder="1" applyAlignment="1">
      <alignment horizontal="center"/>
    </xf>
    <xf numFmtId="177" fontId="7" fillId="20" borderId="130" xfId="1" applyFill="1" applyBorder="1" applyAlignment="1">
      <alignment horizontal="center"/>
    </xf>
    <xf numFmtId="0" fontId="0" fillId="5" borderId="50" xfId="0" applyFill="1" applyBorder="1" applyAlignment="1">
      <alignment horizontal="center"/>
    </xf>
    <xf numFmtId="1" fontId="0" fillId="5" borderId="38" xfId="0" applyNumberFormat="1" applyFill="1" applyBorder="1" applyAlignment="1">
      <alignment horizontal="center"/>
    </xf>
    <xf numFmtId="2" fontId="0" fillId="5" borderId="36" xfId="0" applyNumberFormat="1" applyFill="1" applyBorder="1" applyAlignment="1">
      <alignment horizontal="center"/>
    </xf>
    <xf numFmtId="2" fontId="0" fillId="5" borderId="70" xfId="0" applyNumberFormat="1" applyFill="1" applyBorder="1" applyAlignment="1">
      <alignment horizontal="center"/>
    </xf>
    <xf numFmtId="2" fontId="0" fillId="5" borderId="39" xfId="0" applyNumberFormat="1" applyFill="1" applyBorder="1" applyAlignment="1">
      <alignment horizontal="center"/>
    </xf>
    <xf numFmtId="177" fontId="7" fillId="20" borderId="150" xfId="1" applyFill="1" applyBorder="1" applyAlignment="1">
      <alignment horizontal="center"/>
    </xf>
    <xf numFmtId="177" fontId="7" fillId="20" borderId="147" xfId="1" applyFill="1" applyBorder="1" applyAlignment="1">
      <alignment horizontal="center"/>
    </xf>
    <xf numFmtId="177" fontId="7" fillId="20" borderId="151" xfId="1" applyFill="1" applyBorder="1" applyAlignment="1">
      <alignment horizontal="center"/>
    </xf>
    <xf numFmtId="175" fontId="0" fillId="5" borderId="6" xfId="0" applyNumberFormat="1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172" fontId="0" fillId="5" borderId="41" xfId="0" applyNumberFormat="1" applyFill="1" applyBorder="1" applyAlignment="1">
      <alignment horizontal="center"/>
    </xf>
    <xf numFmtId="172" fontId="0" fillId="5" borderId="69" xfId="0" applyNumberFormat="1" applyFill="1" applyBorder="1" applyAlignment="1">
      <alignment horizontal="center"/>
    </xf>
    <xf numFmtId="172" fontId="0" fillId="5" borderId="44" xfId="0" applyNumberFormat="1" applyFill="1" applyBorder="1" applyAlignment="1">
      <alignment horizontal="center"/>
    </xf>
    <xf numFmtId="174" fontId="7" fillId="20" borderId="127" xfId="1" applyNumberFormat="1" applyFill="1" applyBorder="1" applyAlignment="1">
      <alignment horizontal="center"/>
    </xf>
    <xf numFmtId="174" fontId="7" fillId="20" borderId="141" xfId="1" applyNumberFormat="1" applyFill="1" applyBorder="1" applyAlignment="1">
      <alignment horizontal="center"/>
    </xf>
    <xf numFmtId="174" fontId="7" fillId="20" borderId="128" xfId="1" applyNumberFormat="1" applyFill="1" applyBorder="1" applyAlignment="1">
      <alignment horizontal="center"/>
    </xf>
    <xf numFmtId="174" fontId="7" fillId="20" borderId="133" xfId="1" applyNumberFormat="1" applyFill="1" applyBorder="1" applyAlignment="1">
      <alignment horizontal="center"/>
    </xf>
    <xf numFmtId="174" fontId="7" fillId="20" borderId="142" xfId="1" applyNumberFormat="1" applyFill="1" applyBorder="1" applyAlignment="1">
      <alignment horizontal="center"/>
    </xf>
    <xf numFmtId="174" fontId="7" fillId="20" borderId="130" xfId="1" applyNumberFormat="1" applyFill="1" applyBorder="1" applyAlignment="1">
      <alignment horizontal="center"/>
    </xf>
    <xf numFmtId="168" fontId="0" fillId="5" borderId="69" xfId="0" applyNumberFormat="1" applyFill="1" applyBorder="1" applyAlignment="1">
      <alignment horizontal="center"/>
    </xf>
    <xf numFmtId="168" fontId="7" fillId="20" borderId="129" xfId="1" applyNumberFormat="1" applyFill="1" applyBorder="1" applyAlignment="1">
      <alignment horizontal="center"/>
    </xf>
    <xf numFmtId="168" fontId="7" fillId="20" borderId="142" xfId="1" applyNumberFormat="1" applyFill="1" applyBorder="1" applyAlignment="1">
      <alignment horizontal="center"/>
    </xf>
    <xf numFmtId="171" fontId="7" fillId="20" borderId="133" xfId="1" applyNumberFormat="1" applyFill="1" applyBorder="1" applyAlignment="1">
      <alignment horizontal="center"/>
    </xf>
    <xf numFmtId="172" fontId="0" fillId="5" borderId="4" xfId="0" applyNumberFormat="1" applyFill="1" applyBorder="1" applyAlignment="1">
      <alignment horizontal="center"/>
    </xf>
    <xf numFmtId="172" fontId="0" fillId="5" borderId="75" xfId="0" applyNumberFormat="1" applyFill="1" applyBorder="1" applyAlignment="1">
      <alignment horizontal="center"/>
    </xf>
    <xf numFmtId="172" fontId="0" fillId="5" borderId="5" xfId="0" applyNumberFormat="1" applyFill="1" applyBorder="1" applyAlignment="1">
      <alignment horizontal="center"/>
    </xf>
    <xf numFmtId="171" fontId="7" fillId="20" borderId="131" xfId="1" applyNumberFormat="1" applyFill="1" applyBorder="1" applyAlignment="1">
      <alignment horizontal="center"/>
    </xf>
    <xf numFmtId="171" fontId="7" fillId="20" borderId="143" xfId="1" applyNumberFormat="1" applyFill="1" applyBorder="1" applyAlignment="1">
      <alignment horizontal="center"/>
    </xf>
    <xf numFmtId="171" fontId="7" fillId="20" borderId="134" xfId="1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9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7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77" fontId="7" fillId="21" borderId="0" xfId="1" applyFill="1" applyBorder="1" applyAlignment="1">
      <alignment horizontal="center"/>
    </xf>
    <xf numFmtId="177" fontId="7" fillId="21" borderId="75" xfId="1" applyFill="1" applyBorder="1" applyAlignment="1">
      <alignment horizontal="center"/>
    </xf>
    <xf numFmtId="175" fontId="0" fillId="5" borderId="104" xfId="0" applyNumberFormat="1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67" xfId="0" applyFill="1" applyBorder="1" applyAlignment="1">
      <alignment horizontal="center"/>
    </xf>
    <xf numFmtId="177" fontId="7" fillId="21" borderId="33" xfId="1" applyFill="1" applyBorder="1" applyAlignment="1">
      <alignment horizontal="center"/>
    </xf>
    <xf numFmtId="177" fontId="7" fillId="21" borderId="67" xfId="1" applyFill="1" applyBorder="1" applyAlignment="1">
      <alignment horizontal="center"/>
    </xf>
    <xf numFmtId="175" fontId="0" fillId="5" borderId="109" xfId="0" applyNumberFormat="1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68" xfId="0" applyFill="1" applyBorder="1" applyAlignment="1">
      <alignment horizontal="center"/>
    </xf>
    <xf numFmtId="177" fontId="7" fillId="21" borderId="40" xfId="1" applyFill="1" applyBorder="1" applyAlignment="1">
      <alignment horizontal="center"/>
    </xf>
    <xf numFmtId="177" fontId="7" fillId="21" borderId="68" xfId="1" applyFill="1" applyBorder="1" applyAlignment="1">
      <alignment horizontal="center"/>
    </xf>
    <xf numFmtId="175" fontId="0" fillId="5" borderId="117" xfId="0" applyNumberFormat="1" applyFill="1" applyBorder="1" applyAlignment="1">
      <alignment horizontal="center"/>
    </xf>
    <xf numFmtId="177" fontId="7" fillId="21" borderId="162" xfId="1" applyFill="1" applyBorder="1" applyAlignment="1">
      <alignment horizontal="center"/>
    </xf>
    <xf numFmtId="177" fontId="7" fillId="21" borderId="163" xfId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70" xfId="0" applyFill="1" applyBorder="1" applyAlignment="1">
      <alignment horizontal="center"/>
    </xf>
    <xf numFmtId="177" fontId="7" fillId="21" borderId="172" xfId="1" applyFill="1" applyBorder="1" applyAlignment="1">
      <alignment horizontal="center"/>
    </xf>
    <xf numFmtId="177" fontId="7" fillId="21" borderId="70" xfId="1" applyFill="1" applyBorder="1" applyAlignment="1">
      <alignment horizontal="center"/>
    </xf>
    <xf numFmtId="177" fontId="7" fillId="21" borderId="173" xfId="1" applyFill="1" applyBorder="1" applyAlignment="1">
      <alignment horizontal="center"/>
    </xf>
    <xf numFmtId="175" fontId="0" fillId="5" borderId="111" xfId="0" applyNumberFormat="1" applyFill="1" applyBorder="1" applyAlignment="1">
      <alignment horizontal="center"/>
    </xf>
    <xf numFmtId="178" fontId="7" fillId="21" borderId="33" xfId="1" applyNumberFormat="1" applyFill="1" applyBorder="1" applyAlignment="1">
      <alignment horizontal="center"/>
    </xf>
    <xf numFmtId="178" fontId="7" fillId="21" borderId="67" xfId="1" applyNumberFormat="1" applyFill="1" applyBorder="1" applyAlignment="1">
      <alignment horizontal="center"/>
    </xf>
    <xf numFmtId="178" fontId="7" fillId="21" borderId="40" xfId="1" applyNumberFormat="1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69" xfId="0" applyFill="1" applyBorder="1" applyAlignment="1">
      <alignment horizontal="center"/>
    </xf>
    <xf numFmtId="177" fontId="7" fillId="21" borderId="135" xfId="1" applyFill="1" applyBorder="1" applyAlignment="1">
      <alignment horizontal="center"/>
    </xf>
    <xf numFmtId="177" fontId="7" fillId="21" borderId="141" xfId="1" applyFill="1" applyBorder="1" applyAlignment="1">
      <alignment horizontal="center"/>
    </xf>
    <xf numFmtId="0" fontId="0" fillId="5" borderId="73" xfId="0" applyFill="1" applyBorder="1" applyAlignment="1">
      <alignment horizontal="center"/>
    </xf>
    <xf numFmtId="177" fontId="7" fillId="21" borderId="2" xfId="1" applyFill="1" applyBorder="1" applyAlignment="1">
      <alignment horizontal="center"/>
    </xf>
    <xf numFmtId="177" fontId="7" fillId="21" borderId="73" xfId="1" applyFill="1" applyBorder="1" applyAlignment="1">
      <alignment horizontal="center"/>
    </xf>
    <xf numFmtId="183" fontId="7" fillId="21" borderId="73" xfId="1" applyNumberFormat="1" applyFill="1" applyBorder="1" applyAlignment="1">
      <alignment horizontal="center"/>
    </xf>
    <xf numFmtId="177" fontId="7" fillId="21" borderId="37" xfId="1" applyFill="1" applyBorder="1" applyAlignment="1">
      <alignment horizontal="center"/>
    </xf>
    <xf numFmtId="178" fontId="7" fillId="21" borderId="70" xfId="1" applyNumberForma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0" fontId="7" fillId="21" borderId="136" xfId="2" applyFill="1" applyBorder="1" applyAlignment="1">
      <alignment horizontal="center"/>
    </xf>
    <xf numFmtId="0" fontId="7" fillId="21" borderId="75" xfId="2" applyFill="1" applyBorder="1" applyAlignment="1">
      <alignment horizontal="center"/>
    </xf>
    <xf numFmtId="0" fontId="7" fillId="21" borderId="0" xfId="2" applyFill="1" applyBorder="1" applyAlignment="1">
      <alignment horizontal="center"/>
    </xf>
    <xf numFmtId="0" fontId="7" fillId="21" borderId="162" xfId="2" applyFill="1" applyBorder="1" applyAlignment="1">
      <alignment horizontal="center"/>
    </xf>
    <xf numFmtId="0" fontId="7" fillId="21" borderId="67" xfId="2" applyFill="1" applyBorder="1" applyAlignment="1">
      <alignment horizontal="center"/>
    </xf>
    <xf numFmtId="0" fontId="7" fillId="21" borderId="33" xfId="2" applyFill="1" applyBorder="1" applyAlignment="1">
      <alignment horizontal="center"/>
    </xf>
    <xf numFmtId="0" fontId="7" fillId="21" borderId="166" xfId="2" applyFill="1" applyBorder="1" applyAlignment="1">
      <alignment horizontal="center"/>
    </xf>
    <xf numFmtId="0" fontId="7" fillId="21" borderId="68" xfId="2" applyFill="1" applyBorder="1" applyAlignment="1">
      <alignment horizontal="center"/>
    </xf>
    <xf numFmtId="0" fontId="7" fillId="21" borderId="40" xfId="2" applyFill="1" applyBorder="1" applyAlignment="1">
      <alignment horizontal="center"/>
    </xf>
    <xf numFmtId="170" fontId="0" fillId="5" borderId="1" xfId="0" applyNumberFormat="1" applyFill="1" applyBorder="1" applyAlignment="1">
      <alignment horizontal="center"/>
    </xf>
    <xf numFmtId="170" fontId="0" fillId="5" borderId="73" xfId="0" applyNumberFormat="1" applyFill="1" applyBorder="1" applyAlignment="1">
      <alignment horizontal="center"/>
    </xf>
    <xf numFmtId="170" fontId="0" fillId="5" borderId="3" xfId="0" applyNumberFormat="1" applyFill="1" applyBorder="1" applyAlignment="1">
      <alignment horizontal="center"/>
    </xf>
    <xf numFmtId="175" fontId="0" fillId="5" borderId="2" xfId="0" applyNumberFormat="1" applyFill="1" applyBorder="1" applyAlignment="1">
      <alignment horizontal="center"/>
    </xf>
    <xf numFmtId="170" fontId="0" fillId="5" borderId="70" xfId="0" applyNumberFormat="1" applyFill="1" applyBorder="1" applyAlignment="1">
      <alignment horizontal="center"/>
    </xf>
    <xf numFmtId="170" fontId="0" fillId="5" borderId="39" xfId="0" applyNumberFormat="1" applyFill="1" applyBorder="1" applyAlignment="1">
      <alignment horizontal="center"/>
    </xf>
    <xf numFmtId="175" fontId="0" fillId="5" borderId="37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11" fontId="0" fillId="5" borderId="67" xfId="0" applyNumberFormat="1" applyFill="1" applyBorder="1" applyAlignment="1">
      <alignment horizontal="center"/>
    </xf>
    <xf numFmtId="11" fontId="0" fillId="5" borderId="73" xfId="0" applyNumberFormat="1" applyFill="1" applyBorder="1" applyAlignment="1">
      <alignment horizontal="center"/>
    </xf>
    <xf numFmtId="175" fontId="0" fillId="5" borderId="86" xfId="0" applyNumberFormat="1" applyFill="1" applyBorder="1" applyAlignment="1">
      <alignment horizontal="center"/>
    </xf>
    <xf numFmtId="175" fontId="0" fillId="5" borderId="77" xfId="0" applyNumberFormat="1" applyFill="1" applyBorder="1" applyAlignment="1">
      <alignment horizontal="center"/>
    </xf>
    <xf numFmtId="0" fontId="5" fillId="5" borderId="55" xfId="0" applyFont="1" applyFill="1" applyBorder="1" applyAlignment="1">
      <alignment horizontal="center"/>
    </xf>
    <xf numFmtId="175" fontId="0" fillId="5" borderId="33" xfId="0" applyNumberFormat="1" applyFill="1" applyBorder="1" applyAlignment="1">
      <alignment horizontal="center"/>
    </xf>
    <xf numFmtId="175" fontId="0" fillId="5" borderId="40" xfId="0" applyNumberFormat="1" applyFill="1" applyBorder="1" applyAlignment="1">
      <alignment horizontal="center"/>
    </xf>
    <xf numFmtId="11" fontId="0" fillId="5" borderId="32" xfId="0" applyNumberFormat="1" applyFill="1" applyBorder="1" applyAlignment="1">
      <alignment horizontal="center"/>
    </xf>
    <xf numFmtId="11" fontId="0" fillId="5" borderId="35" xfId="0" applyNumberFormat="1" applyFill="1" applyBorder="1" applyAlignment="1">
      <alignment horizontal="center"/>
    </xf>
    <xf numFmtId="11" fontId="0" fillId="5" borderId="68" xfId="0" applyNumberFormat="1" applyFill="1" applyBorder="1" applyAlignment="1">
      <alignment horizontal="center"/>
    </xf>
    <xf numFmtId="180" fontId="0" fillId="5" borderId="29" xfId="0" applyNumberFormat="1" applyFill="1" applyBorder="1" applyAlignment="1">
      <alignment horizontal="center"/>
    </xf>
    <xf numFmtId="180" fontId="0" fillId="5" borderId="71" xfId="0" applyNumberFormat="1" applyFill="1" applyBorder="1" applyAlignment="1">
      <alignment horizontal="center"/>
    </xf>
    <xf numFmtId="174" fontId="0" fillId="5" borderId="2" xfId="0" applyNumberFormat="1" applyFill="1" applyBorder="1" applyAlignment="1">
      <alignment horizontal="center"/>
    </xf>
    <xf numFmtId="180" fontId="0" fillId="5" borderId="28" xfId="0" applyNumberFormat="1" applyFill="1" applyBorder="1" applyAlignment="1">
      <alignment horizontal="center"/>
    </xf>
    <xf numFmtId="180" fontId="0" fillId="5" borderId="31" xfId="0" applyNumberFormat="1" applyFill="1" applyBorder="1" applyAlignment="1">
      <alignment horizontal="center"/>
    </xf>
    <xf numFmtId="175" fontId="0" fillId="5" borderId="28" xfId="0" applyNumberFormat="1" applyFill="1" applyBorder="1" applyAlignment="1">
      <alignment horizontal="center"/>
    </xf>
    <xf numFmtId="180" fontId="0" fillId="5" borderId="33" xfId="0" applyNumberFormat="1" applyFill="1" applyBorder="1" applyAlignment="1">
      <alignment horizontal="center"/>
    </xf>
    <xf numFmtId="180" fontId="0" fillId="5" borderId="67" xfId="0" applyNumberFormat="1" applyFill="1" applyBorder="1" applyAlignment="1">
      <alignment horizontal="center"/>
    </xf>
    <xf numFmtId="174" fontId="0" fillId="5" borderId="110" xfId="0" applyNumberFormat="1" applyFill="1" applyBorder="1" applyAlignment="1">
      <alignment horizontal="center"/>
    </xf>
    <xf numFmtId="180" fontId="0" fillId="5" borderId="32" xfId="0" applyNumberFormat="1" applyFill="1" applyBorder="1" applyAlignment="1">
      <alignment horizontal="center"/>
    </xf>
    <xf numFmtId="180" fontId="0" fillId="5" borderId="35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62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180" fontId="0" fillId="5" borderId="7" xfId="0" applyNumberFormat="1" applyFill="1" applyBorder="1" applyAlignment="1">
      <alignment horizontal="center"/>
    </xf>
    <xf numFmtId="180" fontId="0" fillId="5" borderId="72" xfId="0" applyNumberFormat="1" applyFill="1" applyBorder="1" applyAlignment="1">
      <alignment horizontal="center"/>
    </xf>
    <xf numFmtId="174" fontId="0" fillId="5" borderId="42" xfId="0" applyNumberFormat="1" applyFill="1" applyBorder="1" applyAlignment="1">
      <alignment horizontal="center"/>
    </xf>
    <xf numFmtId="180" fontId="0" fillId="5" borderId="6" xfId="0" applyNumberFormat="1" applyFill="1" applyBorder="1" applyAlignment="1">
      <alignment horizontal="center"/>
    </xf>
    <xf numFmtId="180" fontId="0" fillId="5" borderId="8" xfId="0" applyNumberFormat="1" applyFill="1" applyBorder="1" applyAlignment="1">
      <alignment horizontal="center"/>
    </xf>
    <xf numFmtId="180" fontId="0" fillId="5" borderId="1" xfId="0" applyNumberFormat="1" applyFill="1" applyBorder="1" applyAlignment="1">
      <alignment horizontal="center"/>
    </xf>
    <xf numFmtId="180" fontId="0" fillId="5" borderId="73" xfId="0" applyNumberFormat="1" applyFill="1" applyBorder="1" applyAlignment="1">
      <alignment horizontal="center"/>
    </xf>
    <xf numFmtId="180" fontId="0" fillId="5" borderId="3" xfId="0" applyNumberFormat="1" applyFill="1" applyBorder="1" applyAlignment="1">
      <alignment horizontal="center"/>
    </xf>
    <xf numFmtId="176" fontId="0" fillId="5" borderId="1" xfId="0" applyNumberFormat="1" applyFill="1" applyBorder="1" applyAlignment="1">
      <alignment horizontal="center"/>
    </xf>
    <xf numFmtId="176" fontId="0" fillId="5" borderId="73" xfId="0" applyNumberFormat="1" applyFill="1" applyBorder="1" applyAlignment="1">
      <alignment horizontal="center"/>
    </xf>
    <xf numFmtId="176" fontId="0" fillId="5" borderId="3" xfId="0" applyNumberFormat="1" applyFill="1" applyBorder="1" applyAlignment="1">
      <alignment horizontal="center"/>
    </xf>
    <xf numFmtId="176" fontId="0" fillId="5" borderId="32" xfId="0" applyNumberFormat="1" applyFill="1" applyBorder="1" applyAlignment="1">
      <alignment horizontal="center"/>
    </xf>
    <xf numFmtId="176" fontId="0" fillId="5" borderId="67" xfId="0" applyNumberFormat="1" applyFill="1" applyBorder="1" applyAlignment="1">
      <alignment horizontal="center"/>
    </xf>
    <xf numFmtId="176" fontId="0" fillId="5" borderId="35" xfId="0" applyNumberFormat="1" applyFill="1" applyBorder="1" applyAlignment="1">
      <alignment horizontal="center"/>
    </xf>
    <xf numFmtId="176" fontId="0" fillId="5" borderId="6" xfId="0" applyNumberFormat="1" applyFill="1" applyBorder="1" applyAlignment="1">
      <alignment horizontal="center"/>
    </xf>
    <xf numFmtId="176" fontId="0" fillId="5" borderId="72" xfId="0" applyNumberFormat="1" applyFill="1" applyBorder="1" applyAlignment="1">
      <alignment horizontal="center"/>
    </xf>
    <xf numFmtId="176" fontId="0" fillId="5" borderId="8" xfId="0" applyNumberFormat="1" applyFill="1" applyBorder="1" applyAlignment="1">
      <alignment horizontal="center"/>
    </xf>
    <xf numFmtId="173" fontId="0" fillId="5" borderId="1" xfId="0" applyNumberFormat="1" applyFill="1" applyBorder="1" applyAlignment="1">
      <alignment horizontal="center"/>
    </xf>
    <xf numFmtId="171" fontId="0" fillId="5" borderId="2" xfId="0" applyNumberFormat="1" applyFill="1" applyBorder="1" applyAlignment="1">
      <alignment horizontal="center"/>
    </xf>
    <xf numFmtId="171" fontId="0" fillId="5" borderId="3" xfId="0" applyNumberFormat="1" applyFill="1" applyBorder="1" applyAlignment="1">
      <alignment horizontal="center"/>
    </xf>
    <xf numFmtId="1" fontId="0" fillId="5" borderId="21" xfId="0" applyNumberFormat="1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171" fontId="0" fillId="5" borderId="73" xfId="0" applyNumberFormat="1" applyFill="1" applyBorder="1" applyAlignment="1">
      <alignment horizontal="center"/>
    </xf>
    <xf numFmtId="173" fontId="0" fillId="5" borderId="32" xfId="0" applyNumberFormat="1" applyFill="1" applyBorder="1" applyAlignment="1">
      <alignment horizontal="center"/>
    </xf>
    <xf numFmtId="173" fontId="0" fillId="5" borderId="45" xfId="0" applyNumberFormat="1" applyFill="1" applyBorder="1" applyAlignment="1">
      <alignment horizontal="center"/>
    </xf>
    <xf numFmtId="171" fontId="0" fillId="5" borderId="68" xfId="0" applyNumberFormat="1" applyFill="1" applyBorder="1" applyAlignment="1">
      <alignment horizontal="center"/>
    </xf>
    <xf numFmtId="171" fontId="0" fillId="5" borderId="46" xfId="0" applyNumberFormat="1" applyFill="1" applyBorder="1" applyAlignment="1">
      <alignment horizontal="center"/>
    </xf>
    <xf numFmtId="175" fontId="0" fillId="5" borderId="89" xfId="0" applyNumberFormat="1" applyFill="1" applyBorder="1" applyAlignment="1">
      <alignment horizontal="center"/>
    </xf>
    <xf numFmtId="168" fontId="0" fillId="5" borderId="1" xfId="0" applyNumberFormat="1" applyFill="1" applyBorder="1" applyAlignment="1">
      <alignment horizontal="center"/>
    </xf>
    <xf numFmtId="168" fontId="0" fillId="5" borderId="73" xfId="0" applyNumberFormat="1" applyFill="1" applyBorder="1" applyAlignment="1">
      <alignment horizontal="center"/>
    </xf>
    <xf numFmtId="168" fontId="0" fillId="5" borderId="3" xfId="0" applyNumberFormat="1" applyFill="1" applyBorder="1" applyAlignment="1">
      <alignment horizontal="center"/>
    </xf>
    <xf numFmtId="1" fontId="0" fillId="5" borderId="9" xfId="0" applyNumberFormat="1" applyFill="1" applyBorder="1" applyAlignment="1">
      <alignment horizontal="center"/>
    </xf>
    <xf numFmtId="168" fontId="0" fillId="5" borderId="4" xfId="0" applyNumberFormat="1" applyFill="1" applyBorder="1" applyAlignment="1">
      <alignment horizontal="center"/>
    </xf>
    <xf numFmtId="168" fontId="0" fillId="5" borderId="75" xfId="0" applyNumberFormat="1" applyFill="1" applyBorder="1" applyAlignment="1">
      <alignment horizontal="center"/>
    </xf>
    <xf numFmtId="167" fontId="0" fillId="5" borderId="75" xfId="0" applyNumberFormat="1" applyFill="1" applyBorder="1" applyAlignment="1">
      <alignment horizontal="center"/>
    </xf>
    <xf numFmtId="170" fontId="0" fillId="5" borderId="75" xfId="0" applyNumberFormat="1" applyFill="1" applyBorder="1" applyAlignment="1">
      <alignment horizontal="center"/>
    </xf>
    <xf numFmtId="2" fontId="0" fillId="5" borderId="75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175" fontId="0" fillId="5" borderId="0" xfId="0" applyNumberFormat="1" applyFill="1" applyBorder="1" applyAlignment="1">
      <alignment horizontal="center"/>
    </xf>
    <xf numFmtId="168" fontId="0" fillId="5" borderId="45" xfId="0" applyNumberFormat="1" applyFill="1" applyBorder="1" applyAlignment="1">
      <alignment horizontal="center"/>
    </xf>
    <xf numFmtId="168" fontId="0" fillId="5" borderId="68" xfId="0" applyNumberFormat="1" applyFill="1" applyBorder="1" applyAlignment="1">
      <alignment horizontal="center"/>
    </xf>
    <xf numFmtId="167" fontId="0" fillId="5" borderId="68" xfId="0" applyNumberFormat="1" applyFill="1" applyBorder="1" applyAlignment="1">
      <alignment horizontal="center"/>
    </xf>
    <xf numFmtId="2" fontId="0" fillId="5" borderId="40" xfId="0" applyNumberFormat="1" applyFill="1" applyBorder="1" applyAlignment="1">
      <alignment horizontal="center"/>
    </xf>
    <xf numFmtId="0" fontId="0" fillId="5" borderId="104" xfId="0" applyFill="1" applyBorder="1" applyAlignment="1">
      <alignment horizontal="center"/>
    </xf>
    <xf numFmtId="0" fontId="0" fillId="5" borderId="176" xfId="0" applyFill="1" applyBorder="1" applyAlignment="1">
      <alignment horizontal="center"/>
    </xf>
    <xf numFmtId="175" fontId="0" fillId="5" borderId="177" xfId="0" applyNumberFormat="1" applyFill="1" applyBorder="1" applyAlignment="1">
      <alignment horizontal="center"/>
    </xf>
    <xf numFmtId="0" fontId="0" fillId="5" borderId="109" xfId="0" applyFill="1" applyBorder="1" applyAlignment="1">
      <alignment horizontal="center"/>
    </xf>
    <xf numFmtId="0" fontId="0" fillId="5" borderId="101" xfId="0" applyFill="1" applyBorder="1" applyAlignment="1">
      <alignment horizontal="center"/>
    </xf>
    <xf numFmtId="175" fontId="0" fillId="5" borderId="178" xfId="0" applyNumberFormat="1" applyFill="1" applyBorder="1" applyAlignment="1">
      <alignment horizontal="center"/>
    </xf>
    <xf numFmtId="11" fontId="0" fillId="5" borderId="101" xfId="0" applyNumberFormat="1" applyFill="1" applyBorder="1" applyAlignment="1">
      <alignment horizontal="center"/>
    </xf>
    <xf numFmtId="0" fontId="0" fillId="5" borderId="117" xfId="0" applyFill="1" applyBorder="1" applyAlignment="1">
      <alignment horizontal="center"/>
    </xf>
    <xf numFmtId="0" fontId="0" fillId="5" borderId="119" xfId="0" applyFill="1" applyBorder="1" applyAlignment="1">
      <alignment horizontal="center"/>
    </xf>
    <xf numFmtId="175" fontId="0" fillId="5" borderId="137" xfId="0" applyNumberFormat="1" applyFill="1" applyBorder="1" applyAlignment="1">
      <alignment horizontal="center"/>
    </xf>
    <xf numFmtId="173" fontId="0" fillId="5" borderId="4" xfId="0" applyNumberFormat="1" applyFill="1" applyBorder="1" applyAlignment="1">
      <alignment horizontal="center"/>
    </xf>
    <xf numFmtId="171" fontId="0" fillId="5" borderId="75" xfId="0" applyNumberFormat="1" applyFill="1" applyBorder="1" applyAlignment="1">
      <alignment horizontal="center"/>
    </xf>
    <xf numFmtId="171" fontId="0" fillId="5" borderId="5" xfId="0" applyNumberFormat="1" applyFill="1" applyBorder="1" applyAlignment="1">
      <alignment horizontal="center"/>
    </xf>
    <xf numFmtId="0" fontId="0" fillId="5" borderId="114" xfId="0" applyFill="1" applyBorder="1" applyAlignment="1">
      <alignment horizontal="center"/>
    </xf>
    <xf numFmtId="172" fontId="0" fillId="5" borderId="1" xfId="0" applyNumberFormat="1" applyFill="1" applyBorder="1" applyAlignment="1">
      <alignment horizontal="center"/>
    </xf>
    <xf numFmtId="172" fontId="0" fillId="5" borderId="73" xfId="0" applyNumberFormat="1" applyFill="1" applyBorder="1" applyAlignment="1">
      <alignment horizontal="center"/>
    </xf>
    <xf numFmtId="172" fontId="0" fillId="5" borderId="3" xfId="0" applyNumberFormat="1" applyFill="1" applyBorder="1" applyAlignment="1">
      <alignment horizontal="center"/>
    </xf>
    <xf numFmtId="169" fontId="0" fillId="5" borderId="73" xfId="0" applyNumberFormat="1" applyFill="1" applyBorder="1" applyAlignment="1">
      <alignment horizontal="center"/>
    </xf>
    <xf numFmtId="0" fontId="0" fillId="5" borderId="113" xfId="0" applyFill="1" applyBorder="1" applyAlignment="1">
      <alignment horizontal="center"/>
    </xf>
    <xf numFmtId="0" fontId="0" fillId="5" borderId="115" xfId="0" applyFill="1" applyBorder="1" applyAlignment="1">
      <alignment horizontal="center"/>
    </xf>
    <xf numFmtId="1" fontId="0" fillId="5" borderId="6" xfId="0" applyNumberFormat="1" applyFill="1" applyBorder="1" applyAlignment="1">
      <alignment horizontal="center"/>
    </xf>
    <xf numFmtId="172" fontId="0" fillId="5" borderId="6" xfId="0" applyNumberFormat="1" applyFill="1" applyBorder="1" applyAlignment="1">
      <alignment horizontal="center"/>
    </xf>
    <xf numFmtId="172" fontId="0" fillId="5" borderId="72" xfId="0" applyNumberFormat="1" applyFill="1" applyBorder="1" applyAlignment="1">
      <alignment horizontal="center"/>
    </xf>
    <xf numFmtId="172" fontId="0" fillId="5" borderId="8" xfId="0" applyNumberFormat="1" applyFill="1" applyBorder="1" applyAlignment="1">
      <alignment horizontal="center"/>
    </xf>
    <xf numFmtId="0" fontId="0" fillId="5" borderId="72" xfId="0" applyFill="1" applyBorder="1" applyAlignment="1">
      <alignment horizontal="center"/>
    </xf>
    <xf numFmtId="175" fontId="0" fillId="5" borderId="87" xfId="0" applyNumberFormat="1" applyFill="1" applyBorder="1" applyAlignment="1">
      <alignment horizontal="center"/>
    </xf>
    <xf numFmtId="171" fontId="0" fillId="5" borderId="4" xfId="0" applyNumberFormat="1" applyFill="1" applyBorder="1" applyAlignment="1">
      <alignment horizontal="center"/>
    </xf>
    <xf numFmtId="174" fontId="0" fillId="5" borderId="5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164" fontId="0" fillId="5" borderId="75" xfId="0" applyNumberFormat="1" applyFill="1" applyBorder="1" applyAlignment="1">
      <alignment horizontal="center"/>
    </xf>
    <xf numFmtId="174" fontId="0" fillId="5" borderId="35" xfId="0" applyNumberFormat="1" applyFill="1" applyBorder="1" applyAlignment="1">
      <alignment horizontal="center"/>
    </xf>
    <xf numFmtId="171" fontId="0" fillId="5" borderId="45" xfId="0" applyNumberFormat="1" applyFill="1" applyBorder="1" applyAlignment="1">
      <alignment horizontal="center"/>
    </xf>
    <xf numFmtId="174" fontId="0" fillId="5" borderId="46" xfId="0" applyNumberFormat="1" applyFill="1" applyBorder="1" applyAlignment="1">
      <alignment horizontal="center"/>
    </xf>
    <xf numFmtId="0" fontId="0" fillId="5" borderId="106" xfId="0" applyFill="1" applyBorder="1" applyAlignment="1">
      <alignment horizontal="center"/>
    </xf>
    <xf numFmtId="175" fontId="0" fillId="5" borderId="106" xfId="0" applyNumberFormat="1" applyFill="1" applyBorder="1" applyAlignment="1">
      <alignment horizontal="center"/>
    </xf>
    <xf numFmtId="168" fontId="0" fillId="5" borderId="110" xfId="0" applyNumberFormat="1" applyFill="1" applyBorder="1" applyAlignment="1">
      <alignment horizontal="center"/>
    </xf>
    <xf numFmtId="175" fontId="0" fillId="5" borderId="110" xfId="0" applyNumberFormat="1" applyFill="1" applyBorder="1" applyAlignment="1">
      <alignment horizontal="center"/>
    </xf>
    <xf numFmtId="0" fontId="0" fillId="5" borderId="110" xfId="0" applyFill="1" applyBorder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168" fontId="0" fillId="5" borderId="106" xfId="0" applyNumberFormat="1" applyFill="1" applyBorder="1" applyAlignment="1">
      <alignment horizontal="center"/>
    </xf>
    <xf numFmtId="168" fontId="0" fillId="5" borderId="5" xfId="0" applyNumberFormat="1" applyFill="1" applyBorder="1" applyAlignment="1">
      <alignment horizontal="center"/>
    </xf>
    <xf numFmtId="168" fontId="0" fillId="5" borderId="6" xfId="0" applyNumberFormat="1" applyFill="1" applyBorder="1" applyAlignment="1">
      <alignment horizontal="center"/>
    </xf>
    <xf numFmtId="168" fontId="0" fillId="5" borderId="8" xfId="0" applyNumberFormat="1" applyFill="1" applyBorder="1" applyAlignment="1">
      <alignment horizontal="center"/>
    </xf>
    <xf numFmtId="0" fontId="0" fillId="5" borderId="108" xfId="0" applyFill="1" applyBorder="1" applyAlignment="1">
      <alignment horizontal="center"/>
    </xf>
    <xf numFmtId="0" fontId="0" fillId="5" borderId="107" xfId="0" applyFill="1" applyBorder="1" applyAlignment="1">
      <alignment horizontal="center"/>
    </xf>
    <xf numFmtId="175" fontId="0" fillId="5" borderId="107" xfId="0" applyNumberFormat="1" applyFill="1" applyBorder="1" applyAlignment="1">
      <alignment horizontal="center"/>
    </xf>
    <xf numFmtId="11" fontId="0" fillId="5" borderId="0" xfId="0" applyNumberFormat="1" applyFill="1" applyBorder="1" applyAlignment="1">
      <alignment horizontal="center"/>
    </xf>
    <xf numFmtId="11" fontId="0" fillId="5" borderId="75" xfId="0" applyNumberFormat="1" applyFill="1" applyBorder="1" applyAlignment="1">
      <alignment horizontal="center"/>
    </xf>
    <xf numFmtId="11" fontId="0" fillId="5" borderId="37" xfId="0" applyNumberFormat="1" applyFill="1" applyBorder="1" applyAlignment="1">
      <alignment horizontal="center"/>
    </xf>
    <xf numFmtId="11" fontId="0" fillId="5" borderId="70" xfId="0" applyNumberFormat="1" applyFill="1" applyBorder="1" applyAlignment="1">
      <alignment horizontal="center"/>
    </xf>
    <xf numFmtId="11" fontId="0" fillId="5" borderId="33" xfId="0" applyNumberFormat="1" applyFill="1" applyBorder="1" applyAlignment="1">
      <alignment horizontal="center"/>
    </xf>
    <xf numFmtId="0" fontId="0" fillId="5" borderId="112" xfId="0" applyFill="1" applyBorder="1" applyAlignment="1">
      <alignment horizontal="center"/>
    </xf>
    <xf numFmtId="0" fontId="0" fillId="5" borderId="116" xfId="0" applyFill="1" applyBorder="1" applyAlignment="1">
      <alignment horizontal="center"/>
    </xf>
    <xf numFmtId="175" fontId="0" fillId="5" borderId="112" xfId="0" applyNumberFormat="1" applyFill="1" applyBorder="1" applyAlignment="1">
      <alignment horizontal="center"/>
    </xf>
    <xf numFmtId="166" fontId="0" fillId="5" borderId="5" xfId="0" applyNumberFormat="1" applyFill="1" applyBorder="1" applyAlignment="1">
      <alignment horizontal="center"/>
    </xf>
    <xf numFmtId="166" fontId="0" fillId="5" borderId="75" xfId="0" applyNumberFormat="1" applyFill="1" applyBorder="1" applyAlignment="1">
      <alignment horizontal="center"/>
    </xf>
    <xf numFmtId="166" fontId="0" fillId="5" borderId="35" xfId="0" applyNumberFormat="1" applyFill="1" applyBorder="1" applyAlignment="1">
      <alignment horizontal="center"/>
    </xf>
    <xf numFmtId="174" fontId="0" fillId="5" borderId="45" xfId="0" applyNumberFormat="1" applyFill="1" applyBorder="1" applyAlignment="1">
      <alignment horizontal="center"/>
    </xf>
    <xf numFmtId="176" fontId="0" fillId="5" borderId="46" xfId="0" applyNumberFormat="1" applyFill="1" applyBorder="1" applyAlignment="1">
      <alignment horizontal="center"/>
    </xf>
    <xf numFmtId="0" fontId="0" fillId="5" borderId="118" xfId="0" applyFill="1" applyBorder="1" applyAlignment="1">
      <alignment horizontal="center"/>
    </xf>
    <xf numFmtId="175" fontId="0" fillId="5" borderId="118" xfId="0" applyNumberFormat="1" applyFill="1" applyBorder="1" applyAlignment="1">
      <alignment horizontal="center"/>
    </xf>
    <xf numFmtId="171" fontId="0" fillId="5" borderId="0" xfId="0" applyNumberFormat="1" applyFill="1" applyBorder="1" applyAlignment="1">
      <alignment horizontal="center"/>
    </xf>
    <xf numFmtId="1" fontId="0" fillId="5" borderId="75" xfId="0" applyNumberFormat="1" applyFill="1" applyBorder="1" applyAlignment="1">
      <alignment horizontal="center"/>
    </xf>
    <xf numFmtId="166" fontId="0" fillId="5" borderId="106" xfId="0" applyNumberFormat="1" applyFill="1" applyBorder="1" applyAlignment="1">
      <alignment horizontal="center"/>
    </xf>
    <xf numFmtId="168" fontId="0" fillId="5" borderId="176" xfId="0" applyNumberFormat="1" applyFill="1" applyBorder="1" applyAlignment="1">
      <alignment horizontal="center"/>
    </xf>
    <xf numFmtId="1" fontId="0" fillId="5" borderId="68" xfId="0" applyNumberFormat="1" applyFill="1" applyBorder="1" applyAlignment="1">
      <alignment horizontal="center"/>
    </xf>
    <xf numFmtId="166" fontId="0" fillId="5" borderId="118" xfId="0" applyNumberForma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96" xfId="0" applyFill="1" applyBorder="1" applyAlignment="1">
      <alignment horizontal="center"/>
    </xf>
    <xf numFmtId="0" fontId="0" fillId="5" borderId="105" xfId="0" applyFill="1" applyBorder="1" applyAlignment="1">
      <alignment horizontal="center"/>
    </xf>
    <xf numFmtId="175" fontId="0" fillId="5" borderId="98" xfId="0" applyNumberFormat="1" applyFill="1" applyBorder="1" applyAlignment="1">
      <alignment horizontal="center"/>
    </xf>
    <xf numFmtId="0" fontId="0" fillId="19" borderId="3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2" borderId="33" xfId="0" applyFill="1" applyBorder="1" applyAlignment="1">
      <alignment horizontal="center"/>
    </xf>
    <xf numFmtId="1" fontId="0" fillId="22" borderId="41" xfId="0" applyNumberFormat="1" applyFill="1" applyBorder="1" applyAlignment="1">
      <alignment horizontal="center"/>
    </xf>
    <xf numFmtId="0" fontId="0" fillId="22" borderId="58" xfId="0" applyFill="1" applyBorder="1" applyAlignment="1">
      <alignment horizontal="center"/>
    </xf>
    <xf numFmtId="0" fontId="0" fillId="22" borderId="42" xfId="0" applyFill="1" applyBorder="1" applyAlignment="1">
      <alignment horizontal="center"/>
    </xf>
    <xf numFmtId="0" fontId="0" fillId="22" borderId="44" xfId="0" applyFill="1" applyBorder="1" applyAlignment="1">
      <alignment horizontal="center"/>
    </xf>
    <xf numFmtId="164" fontId="0" fillId="22" borderId="41" xfId="0" applyNumberFormat="1" applyFill="1" applyBorder="1" applyAlignment="1">
      <alignment horizontal="center"/>
    </xf>
    <xf numFmtId="2" fontId="0" fillId="22" borderId="69" xfId="0" applyNumberFormat="1" applyFill="1" applyBorder="1" applyAlignment="1">
      <alignment horizontal="center"/>
    </xf>
    <xf numFmtId="1" fontId="0" fillId="22" borderId="69" xfId="0" applyNumberFormat="1" applyFill="1" applyBorder="1" applyAlignment="1">
      <alignment horizontal="center"/>
    </xf>
    <xf numFmtId="167" fontId="0" fillId="22" borderId="44" xfId="0" applyNumberFormat="1" applyFill="1" applyBorder="1" applyAlignment="1">
      <alignment horizontal="center"/>
    </xf>
    <xf numFmtId="1" fontId="0" fillId="22" borderId="42" xfId="0" applyNumberFormat="1" applyFill="1" applyBorder="1" applyAlignment="1">
      <alignment horizontal="center"/>
    </xf>
    <xf numFmtId="2" fontId="0" fillId="22" borderId="42" xfId="0" applyNumberFormat="1" applyFill="1" applyBorder="1" applyAlignment="1">
      <alignment horizontal="center"/>
    </xf>
    <xf numFmtId="175" fontId="0" fillId="22" borderId="28" xfId="0" applyNumberFormat="1" applyFill="1" applyBorder="1" applyAlignment="1">
      <alignment horizontal="center"/>
    </xf>
    <xf numFmtId="175" fontId="0" fillId="22" borderId="71" xfId="0" applyNumberFormat="1" applyFill="1" applyBorder="1" applyAlignment="1">
      <alignment horizontal="center"/>
    </xf>
    <xf numFmtId="175" fontId="0" fillId="22" borderId="31" xfId="0" applyNumberFormat="1" applyFill="1" applyBorder="1" applyAlignment="1">
      <alignment horizontal="center"/>
    </xf>
    <xf numFmtId="1" fontId="0" fillId="22" borderId="32" xfId="0" applyNumberFormat="1" applyFill="1" applyBorder="1" applyAlignment="1">
      <alignment horizontal="center"/>
    </xf>
    <xf numFmtId="0" fontId="0" fillId="22" borderId="55" xfId="0" applyFill="1" applyBorder="1" applyAlignment="1">
      <alignment horizontal="center"/>
    </xf>
    <xf numFmtId="0" fontId="0" fillId="22" borderId="35" xfId="0" applyFill="1" applyBorder="1" applyAlignment="1">
      <alignment horizontal="center"/>
    </xf>
    <xf numFmtId="167" fontId="0" fillId="22" borderId="32" xfId="0" applyNumberFormat="1" applyFill="1" applyBorder="1" applyAlignment="1">
      <alignment horizontal="center"/>
    </xf>
    <xf numFmtId="1" fontId="0" fillId="22" borderId="67" xfId="0" applyNumberFormat="1" applyFill="1" applyBorder="1" applyAlignment="1">
      <alignment horizontal="center"/>
    </xf>
    <xf numFmtId="167" fontId="0" fillId="22" borderId="67" xfId="0" applyNumberFormat="1" applyFill="1" applyBorder="1" applyAlignment="1">
      <alignment horizontal="center"/>
    </xf>
    <xf numFmtId="170" fontId="0" fillId="22" borderId="35" xfId="0" applyNumberFormat="1" applyFill="1" applyBorder="1" applyAlignment="1">
      <alignment horizontal="center"/>
    </xf>
    <xf numFmtId="2" fontId="0" fillId="22" borderId="33" xfId="0" applyNumberFormat="1" applyFill="1" applyBorder="1" applyAlignment="1">
      <alignment horizontal="center"/>
    </xf>
    <xf numFmtId="2" fontId="0" fillId="22" borderId="67" xfId="0" applyNumberFormat="1" applyFill="1" applyBorder="1" applyAlignment="1">
      <alignment horizontal="center"/>
    </xf>
    <xf numFmtId="175" fontId="0" fillId="22" borderId="32" xfId="0" applyNumberFormat="1" applyFill="1" applyBorder="1" applyAlignment="1">
      <alignment horizontal="center"/>
    </xf>
    <xf numFmtId="175" fontId="0" fillId="22" borderId="67" xfId="0" applyNumberFormat="1" applyFill="1" applyBorder="1" applyAlignment="1">
      <alignment horizontal="center"/>
    </xf>
    <xf numFmtId="175" fontId="0" fillId="22" borderId="35" xfId="0" applyNumberFormat="1" applyFill="1" applyBorder="1" applyAlignment="1">
      <alignment horizontal="center"/>
    </xf>
    <xf numFmtId="2" fontId="0" fillId="22" borderId="32" xfId="0" applyNumberFormat="1" applyFill="1" applyBorder="1" applyAlignment="1">
      <alignment horizontal="center"/>
    </xf>
    <xf numFmtId="168" fontId="0" fillId="22" borderId="32" xfId="0" applyNumberFormat="1" applyFill="1" applyBorder="1" applyAlignment="1">
      <alignment horizontal="center"/>
    </xf>
    <xf numFmtId="170" fontId="0" fillId="22" borderId="67" xfId="0" applyNumberFormat="1" applyFill="1" applyBorder="1" applyAlignment="1">
      <alignment horizontal="center"/>
    </xf>
    <xf numFmtId="168" fontId="0" fillId="22" borderId="33" xfId="0" applyNumberFormat="1" applyFill="1" applyBorder="1" applyAlignment="1">
      <alignment horizontal="center"/>
    </xf>
    <xf numFmtId="168" fontId="0" fillId="22" borderId="67" xfId="0" applyNumberFormat="1" applyFill="1" applyBorder="1" applyAlignment="1">
      <alignment horizontal="center"/>
    </xf>
    <xf numFmtId="1" fontId="0" fillId="22" borderId="33" xfId="0" applyNumberFormat="1" applyFill="1" applyBorder="1" applyAlignment="1">
      <alignment horizontal="center"/>
    </xf>
    <xf numFmtId="1" fontId="0" fillId="22" borderId="45" xfId="0" applyNumberFormat="1" applyFill="1" applyBorder="1" applyAlignment="1">
      <alignment horizontal="center"/>
    </xf>
    <xf numFmtId="0" fontId="0" fillId="22" borderId="56" xfId="0" applyFill="1" applyBorder="1" applyAlignment="1">
      <alignment horizontal="center"/>
    </xf>
    <xf numFmtId="167" fontId="0" fillId="22" borderId="40" xfId="0" applyNumberFormat="1" applyFill="1" applyBorder="1" applyAlignment="1">
      <alignment horizontal="center"/>
    </xf>
    <xf numFmtId="0" fontId="0" fillId="22" borderId="46" xfId="0" applyFill="1" applyBorder="1" applyAlignment="1">
      <alignment horizontal="center"/>
    </xf>
    <xf numFmtId="2" fontId="0" fillId="22" borderId="45" xfId="0" applyNumberFormat="1" applyFill="1" applyBorder="1" applyAlignment="1">
      <alignment horizontal="center"/>
    </xf>
    <xf numFmtId="1" fontId="0" fillId="22" borderId="68" xfId="0" applyNumberFormat="1" applyFill="1" applyBorder="1" applyAlignment="1">
      <alignment horizontal="center"/>
    </xf>
    <xf numFmtId="167" fontId="0" fillId="22" borderId="68" xfId="0" applyNumberFormat="1" applyFill="1" applyBorder="1" applyAlignment="1">
      <alignment horizontal="center"/>
    </xf>
    <xf numFmtId="170" fontId="0" fillId="22" borderId="46" xfId="0" applyNumberFormat="1" applyFill="1" applyBorder="1" applyAlignment="1">
      <alignment horizontal="center"/>
    </xf>
    <xf numFmtId="2" fontId="0" fillId="22" borderId="40" xfId="0" applyNumberFormat="1" applyFill="1" applyBorder="1" applyAlignment="1">
      <alignment horizontal="center"/>
    </xf>
    <xf numFmtId="2" fontId="0" fillId="22" borderId="68" xfId="0" applyNumberFormat="1" applyFill="1" applyBorder="1" applyAlignment="1">
      <alignment horizontal="center"/>
    </xf>
    <xf numFmtId="175" fontId="0" fillId="22" borderId="36" xfId="0" applyNumberFormat="1" applyFill="1" applyBorder="1" applyAlignment="1">
      <alignment horizontal="center"/>
    </xf>
    <xf numFmtId="175" fontId="0" fillId="22" borderId="70" xfId="0" applyNumberFormat="1" applyFill="1" applyBorder="1" applyAlignment="1">
      <alignment horizontal="center"/>
    </xf>
    <xf numFmtId="175" fontId="0" fillId="22" borderId="39" xfId="0" applyNumberFormat="1" applyFill="1" applyBorder="1" applyAlignment="1">
      <alignment horizontal="center"/>
    </xf>
    <xf numFmtId="174" fontId="0" fillId="22" borderId="42" xfId="0" applyNumberFormat="1" applyFill="1" applyBorder="1" applyAlignment="1">
      <alignment horizontal="center"/>
    </xf>
    <xf numFmtId="174" fontId="0" fillId="22" borderId="69" xfId="0" applyNumberFormat="1" applyFill="1" applyBorder="1" applyAlignment="1">
      <alignment horizontal="center"/>
    </xf>
    <xf numFmtId="172" fontId="0" fillId="22" borderId="41" xfId="0" applyNumberFormat="1" applyFill="1" applyBorder="1" applyAlignment="1">
      <alignment horizontal="center"/>
    </xf>
    <xf numFmtId="172" fontId="0" fillId="22" borderId="69" xfId="0" applyNumberFormat="1" applyFill="1" applyBorder="1" applyAlignment="1">
      <alignment horizontal="center"/>
    </xf>
    <xf numFmtId="172" fontId="0" fillId="22" borderId="44" xfId="0" applyNumberFormat="1" applyFill="1" applyBorder="1" applyAlignment="1">
      <alignment horizontal="center"/>
    </xf>
    <xf numFmtId="174" fontId="0" fillId="22" borderId="33" xfId="0" applyNumberFormat="1" applyFill="1" applyBorder="1" applyAlignment="1">
      <alignment horizontal="center"/>
    </xf>
    <xf numFmtId="174" fontId="0" fillId="22" borderId="67" xfId="0" applyNumberFormat="1" applyFill="1" applyBorder="1" applyAlignment="1">
      <alignment horizontal="center"/>
    </xf>
    <xf numFmtId="172" fontId="0" fillId="22" borderId="32" xfId="0" applyNumberFormat="1" applyFill="1" applyBorder="1" applyAlignment="1">
      <alignment horizontal="center"/>
    </xf>
    <xf numFmtId="172" fontId="0" fillId="22" borderId="67" xfId="0" applyNumberFormat="1" applyFill="1" applyBorder="1" applyAlignment="1">
      <alignment horizontal="center"/>
    </xf>
    <xf numFmtId="172" fontId="0" fillId="22" borderId="35" xfId="0" applyNumberFormat="1" applyFill="1" applyBorder="1" applyAlignment="1">
      <alignment horizontal="center"/>
    </xf>
    <xf numFmtId="0" fontId="0" fillId="22" borderId="40" xfId="0" applyFill="1" applyBorder="1" applyAlignment="1">
      <alignment horizontal="center"/>
    </xf>
    <xf numFmtId="174" fontId="0" fillId="22" borderId="40" xfId="0" applyNumberFormat="1" applyFill="1" applyBorder="1" applyAlignment="1">
      <alignment horizontal="center"/>
    </xf>
    <xf numFmtId="174" fontId="0" fillId="22" borderId="68" xfId="0" applyNumberFormat="1" applyFill="1" applyBorder="1" applyAlignment="1">
      <alignment horizontal="center"/>
    </xf>
    <xf numFmtId="172" fontId="0" fillId="22" borderId="45" xfId="0" applyNumberFormat="1" applyFill="1" applyBorder="1" applyAlignment="1">
      <alignment horizontal="center"/>
    </xf>
    <xf numFmtId="172" fontId="0" fillId="22" borderId="68" xfId="0" applyNumberFormat="1" applyFill="1" applyBorder="1" applyAlignment="1">
      <alignment horizontal="center"/>
    </xf>
    <xf numFmtId="172" fontId="0" fillId="22" borderId="40" xfId="0" applyNumberFormat="1" applyFill="1" applyBorder="1" applyAlignment="1">
      <alignment horizontal="center"/>
    </xf>
    <xf numFmtId="171" fontId="0" fillId="22" borderId="41" xfId="0" applyNumberFormat="1" applyFill="1" applyBorder="1" applyAlignment="1">
      <alignment horizontal="center"/>
    </xf>
    <xf numFmtId="171" fontId="0" fillId="22" borderId="69" xfId="0" applyNumberFormat="1" applyFill="1" applyBorder="1" applyAlignment="1">
      <alignment horizontal="center"/>
    </xf>
    <xf numFmtId="171" fontId="0" fillId="22" borderId="44" xfId="0" applyNumberFormat="1" applyFill="1" applyBorder="1" applyAlignment="1">
      <alignment horizontal="center"/>
    </xf>
    <xf numFmtId="168" fontId="0" fillId="22" borderId="69" xfId="0" applyNumberFormat="1" applyFill="1" applyBorder="1" applyAlignment="1">
      <alignment horizontal="center"/>
    </xf>
    <xf numFmtId="175" fontId="0" fillId="22" borderId="41" xfId="0" applyNumberFormat="1" applyFill="1" applyBorder="1" applyAlignment="1">
      <alignment horizontal="center"/>
    </xf>
    <xf numFmtId="175" fontId="0" fillId="22" borderId="69" xfId="0" applyNumberFormat="1" applyFill="1" applyBorder="1" applyAlignment="1">
      <alignment horizontal="center"/>
    </xf>
    <xf numFmtId="175" fontId="0" fillId="22" borderId="44" xfId="0" applyNumberFormat="1" applyFill="1" applyBorder="1" applyAlignment="1">
      <alignment horizontal="center"/>
    </xf>
    <xf numFmtId="171" fontId="0" fillId="22" borderId="32" xfId="0" applyNumberFormat="1" applyFill="1" applyBorder="1" applyAlignment="1">
      <alignment horizontal="center"/>
    </xf>
    <xf numFmtId="171" fontId="0" fillId="22" borderId="67" xfId="0" applyNumberFormat="1" applyFill="1" applyBorder="1" applyAlignment="1">
      <alignment horizontal="center"/>
    </xf>
    <xf numFmtId="171" fontId="0" fillId="22" borderId="35" xfId="0" applyNumberFormat="1" applyFill="1" applyBorder="1" applyAlignment="1">
      <alignment horizontal="center"/>
    </xf>
    <xf numFmtId="171" fontId="0" fillId="22" borderId="45" xfId="0" applyNumberFormat="1" applyFill="1" applyBorder="1" applyAlignment="1">
      <alignment horizontal="center"/>
    </xf>
    <xf numFmtId="171" fontId="0" fillId="22" borderId="68" xfId="0" applyNumberFormat="1" applyFill="1" applyBorder="1" applyAlignment="1">
      <alignment horizontal="center"/>
    </xf>
    <xf numFmtId="168" fontId="0" fillId="22" borderId="68" xfId="0" applyNumberFormat="1" applyFill="1" applyBorder="1" applyAlignment="1">
      <alignment horizontal="center"/>
    </xf>
    <xf numFmtId="171" fontId="0" fillId="22" borderId="46" xfId="0" applyNumberFormat="1" applyFill="1" applyBorder="1" applyAlignment="1">
      <alignment horizontal="center"/>
    </xf>
    <xf numFmtId="175" fontId="0" fillId="22" borderId="45" xfId="0" applyNumberFormat="1" applyFill="1" applyBorder="1" applyAlignment="1">
      <alignment horizontal="center"/>
    </xf>
    <xf numFmtId="175" fontId="0" fillId="22" borderId="68" xfId="0" applyNumberFormat="1" applyFill="1" applyBorder="1" applyAlignment="1">
      <alignment horizontal="center"/>
    </xf>
    <xf numFmtId="175" fontId="0" fillId="22" borderId="46" xfId="0" applyNumberFormat="1" applyFill="1" applyBorder="1" applyAlignment="1">
      <alignment horizontal="center"/>
    </xf>
    <xf numFmtId="1" fontId="0" fillId="22" borderId="28" xfId="0" applyNumberFormat="1" applyFill="1" applyBorder="1" applyAlignment="1">
      <alignment horizontal="center"/>
    </xf>
    <xf numFmtId="0" fontId="0" fillId="22" borderId="54" xfId="0" applyFill="1" applyBorder="1" applyAlignment="1">
      <alignment horizontal="center"/>
    </xf>
    <xf numFmtId="0" fontId="0" fillId="22" borderId="29" xfId="0" applyFill="1" applyBorder="1" applyAlignment="1">
      <alignment horizontal="center"/>
    </xf>
    <xf numFmtId="1" fontId="0" fillId="22" borderId="30" xfId="0" applyNumberFormat="1" applyFill="1" applyBorder="1" applyAlignment="1">
      <alignment horizontal="center"/>
    </xf>
    <xf numFmtId="172" fontId="0" fillId="22" borderId="28" xfId="0" applyNumberFormat="1" applyFill="1" applyBorder="1" applyAlignment="1">
      <alignment horizontal="center"/>
    </xf>
    <xf numFmtId="172" fontId="0" fillId="22" borderId="71" xfId="0" applyNumberFormat="1" applyFill="1" applyBorder="1" applyAlignment="1">
      <alignment horizontal="center"/>
    </xf>
    <xf numFmtId="172" fontId="0" fillId="22" borderId="31" xfId="0" applyNumberFormat="1" applyFill="1" applyBorder="1" applyAlignment="1">
      <alignment horizontal="center"/>
    </xf>
    <xf numFmtId="172" fontId="0" fillId="22" borderId="29" xfId="0" applyNumberFormat="1" applyFill="1" applyBorder="1" applyAlignment="1">
      <alignment horizontal="center"/>
    </xf>
    <xf numFmtId="166" fontId="0" fillId="22" borderId="71" xfId="0" applyNumberFormat="1" applyFill="1" applyBorder="1" applyAlignment="1">
      <alignment horizontal="center"/>
    </xf>
    <xf numFmtId="175" fontId="0" fillId="22" borderId="1" xfId="0" applyNumberFormat="1" applyFill="1" applyBorder="1" applyAlignment="1">
      <alignment horizontal="center"/>
    </xf>
    <xf numFmtId="175" fontId="0" fillId="22" borderId="73" xfId="0" applyNumberFormat="1" applyFill="1" applyBorder="1" applyAlignment="1">
      <alignment horizontal="center"/>
    </xf>
    <xf numFmtId="175" fontId="0" fillId="22" borderId="3" xfId="0" applyNumberFormat="1" applyFill="1" applyBorder="1" applyAlignment="1">
      <alignment horizontal="center"/>
    </xf>
    <xf numFmtId="1" fontId="0" fillId="22" borderId="34" xfId="0" applyNumberFormat="1" applyFill="1" applyBorder="1" applyAlignment="1">
      <alignment horizontal="center"/>
    </xf>
    <xf numFmtId="166" fontId="0" fillId="22" borderId="67" xfId="0" applyNumberFormat="1" applyFill="1" applyBorder="1" applyAlignment="1">
      <alignment horizontal="center"/>
    </xf>
    <xf numFmtId="172" fontId="0" fillId="22" borderId="33" xfId="0" applyNumberFormat="1" applyFill="1" applyBorder="1" applyAlignment="1">
      <alignment horizontal="center"/>
    </xf>
    <xf numFmtId="1" fontId="0" fillId="22" borderId="36" xfId="0" applyNumberFormat="1" applyFill="1" applyBorder="1" applyAlignment="1">
      <alignment horizontal="center"/>
    </xf>
    <xf numFmtId="0" fontId="0" fillId="22" borderId="57" xfId="0" applyFill="1" applyBorder="1" applyAlignment="1">
      <alignment horizontal="center"/>
    </xf>
    <xf numFmtId="0" fontId="0" fillId="22" borderId="50" xfId="0" applyFill="1" applyBorder="1" applyAlignment="1">
      <alignment horizontal="center"/>
    </xf>
    <xf numFmtId="1" fontId="0" fillId="22" borderId="38" xfId="0" applyNumberFormat="1" applyFill="1" applyBorder="1" applyAlignment="1">
      <alignment horizontal="center"/>
    </xf>
    <xf numFmtId="0" fontId="0" fillId="22" borderId="37" xfId="0" applyFill="1" applyBorder="1" applyAlignment="1">
      <alignment horizontal="center"/>
    </xf>
    <xf numFmtId="172" fontId="0" fillId="22" borderId="36" xfId="0" applyNumberFormat="1" applyFill="1" applyBorder="1" applyAlignment="1">
      <alignment horizontal="center"/>
    </xf>
    <xf numFmtId="172" fontId="0" fillId="22" borderId="70" xfId="0" applyNumberFormat="1" applyFill="1" applyBorder="1" applyAlignment="1">
      <alignment horizontal="center"/>
    </xf>
    <xf numFmtId="172" fontId="0" fillId="22" borderId="39" xfId="0" applyNumberFormat="1" applyFill="1" applyBorder="1" applyAlignment="1">
      <alignment horizontal="center"/>
    </xf>
    <xf numFmtId="172" fontId="0" fillId="22" borderId="37" xfId="0" applyNumberFormat="1" applyFill="1" applyBorder="1" applyAlignment="1">
      <alignment horizontal="center"/>
    </xf>
    <xf numFmtId="170" fontId="0" fillId="22" borderId="28" xfId="0" applyNumberFormat="1" applyFill="1" applyBorder="1" applyAlignment="1">
      <alignment horizontal="center"/>
    </xf>
    <xf numFmtId="170" fontId="0" fillId="22" borderId="71" xfId="0" applyNumberFormat="1" applyFill="1" applyBorder="1" applyAlignment="1">
      <alignment horizontal="center"/>
    </xf>
    <xf numFmtId="170" fontId="0" fillId="22" borderId="31" xfId="0" applyNumberFormat="1" applyFill="1" applyBorder="1" applyAlignment="1">
      <alignment horizontal="center"/>
    </xf>
    <xf numFmtId="170" fontId="0" fillId="22" borderId="29" xfId="0" applyNumberFormat="1" applyFill="1" applyBorder="1" applyAlignment="1">
      <alignment horizontal="center"/>
    </xf>
    <xf numFmtId="170" fontId="0" fillId="22" borderId="32" xfId="0" applyNumberFormat="1" applyFill="1" applyBorder="1" applyAlignment="1">
      <alignment horizontal="center"/>
    </xf>
    <xf numFmtId="170" fontId="0" fillId="22" borderId="33" xfId="0" applyNumberFormat="1" applyFill="1" applyBorder="1" applyAlignment="1">
      <alignment horizontal="center"/>
    </xf>
    <xf numFmtId="164" fontId="0" fillId="22" borderId="36" xfId="0" applyNumberFormat="1" applyFill="1" applyBorder="1" applyAlignment="1">
      <alignment horizontal="center"/>
    </xf>
    <xf numFmtId="170" fontId="0" fillId="22" borderId="36" xfId="0" applyNumberFormat="1" applyFill="1" applyBorder="1" applyAlignment="1">
      <alignment horizontal="center"/>
    </xf>
    <xf numFmtId="170" fontId="0" fillId="22" borderId="70" xfId="0" applyNumberFormat="1" applyFill="1" applyBorder="1" applyAlignment="1">
      <alignment horizontal="center"/>
    </xf>
    <xf numFmtId="170" fontId="0" fillId="22" borderId="39" xfId="0" applyNumberFormat="1" applyFill="1" applyBorder="1" applyAlignment="1">
      <alignment horizontal="center"/>
    </xf>
    <xf numFmtId="170" fontId="0" fillId="22" borderId="37" xfId="0" applyNumberFormat="1" applyFill="1" applyBorder="1" applyAlignment="1">
      <alignment horizontal="center"/>
    </xf>
    <xf numFmtId="175" fontId="0" fillId="22" borderId="4" xfId="0" applyNumberFormat="1" applyFill="1" applyBorder="1" applyAlignment="1">
      <alignment horizontal="center"/>
    </xf>
    <xf numFmtId="175" fontId="0" fillId="22" borderId="75" xfId="0" applyNumberFormat="1" applyFill="1" applyBorder="1" applyAlignment="1">
      <alignment horizontal="center"/>
    </xf>
    <xf numFmtId="175" fontId="0" fillId="22" borderId="5" xfId="0" applyNumberFormat="1" applyFill="1" applyBorder="1" applyAlignment="1">
      <alignment horizontal="center"/>
    </xf>
    <xf numFmtId="0" fontId="0" fillId="22" borderId="31" xfId="0" applyFill="1" applyBorder="1" applyAlignment="1">
      <alignment horizontal="center"/>
    </xf>
    <xf numFmtId="2" fontId="0" fillId="22" borderId="28" xfId="0" applyNumberFormat="1" applyFill="1" applyBorder="1" applyAlignment="1">
      <alignment horizontal="center"/>
    </xf>
    <xf numFmtId="171" fontId="0" fillId="22" borderId="71" xfId="0" applyNumberFormat="1" applyFill="1" applyBorder="1" applyAlignment="1">
      <alignment horizontal="center"/>
    </xf>
    <xf numFmtId="171" fontId="0" fillId="22" borderId="31" xfId="0" applyNumberFormat="1" applyFill="1" applyBorder="1" applyAlignment="1">
      <alignment horizontal="center"/>
    </xf>
    <xf numFmtId="171" fontId="0" fillId="22" borderId="28" xfId="0" applyNumberFormat="1" applyFill="1" applyBorder="1" applyAlignment="1">
      <alignment horizontal="center"/>
    </xf>
    <xf numFmtId="0" fontId="0" fillId="22" borderId="39" xfId="0" applyFill="1" applyBorder="1" applyAlignment="1">
      <alignment horizontal="center"/>
    </xf>
    <xf numFmtId="2" fontId="0" fillId="22" borderId="36" xfId="0" applyNumberFormat="1" applyFill="1" applyBorder="1" applyAlignment="1">
      <alignment horizontal="center"/>
    </xf>
    <xf numFmtId="2" fontId="0" fillId="22" borderId="70" xfId="0" applyNumberFormat="1" applyFill="1" applyBorder="1" applyAlignment="1">
      <alignment horizontal="center"/>
    </xf>
    <xf numFmtId="168" fontId="0" fillId="22" borderId="39" xfId="0" applyNumberFormat="1" applyFill="1" applyBorder="1" applyAlignment="1">
      <alignment horizontal="center"/>
    </xf>
    <xf numFmtId="169" fontId="0" fillId="22" borderId="70" xfId="0" applyNumberFormat="1" applyFill="1" applyBorder="1" applyAlignment="1">
      <alignment horizontal="center"/>
    </xf>
    <xf numFmtId="2" fontId="0" fillId="22" borderId="39" xfId="0" applyNumberFormat="1" applyFill="1" applyBorder="1" applyAlignment="1">
      <alignment horizontal="center"/>
    </xf>
    <xf numFmtId="171" fontId="7" fillId="23" borderId="144" xfId="1" applyNumberFormat="1" applyFill="1" applyBorder="1" applyAlignment="1">
      <alignment horizontal="center"/>
    </xf>
    <xf numFmtId="171" fontId="7" fillId="23" borderId="145" xfId="1" applyNumberFormat="1" applyFill="1" applyBorder="1" applyAlignment="1">
      <alignment horizontal="center"/>
    </xf>
    <xf numFmtId="171" fontId="7" fillId="23" borderId="133" xfId="1" applyNumberFormat="1" applyFill="1" applyBorder="1" applyAlignment="1">
      <alignment horizontal="center"/>
    </xf>
    <xf numFmtId="171" fontId="7" fillId="23" borderId="142" xfId="1" applyNumberFormat="1" applyFill="1" applyBorder="1" applyAlignment="1">
      <alignment horizontal="center"/>
    </xf>
    <xf numFmtId="169" fontId="0" fillId="22" borderId="69" xfId="0" applyNumberFormat="1" applyFill="1" applyBorder="1" applyAlignment="1">
      <alignment horizontal="center"/>
    </xf>
    <xf numFmtId="168" fontId="7" fillId="23" borderId="142" xfId="1" applyNumberFormat="1" applyFill="1" applyBorder="1" applyAlignment="1">
      <alignment horizontal="center"/>
    </xf>
    <xf numFmtId="172" fontId="0" fillId="22" borderId="6" xfId="0" applyNumberFormat="1" applyFill="1" applyBorder="1" applyAlignment="1">
      <alignment horizontal="center"/>
    </xf>
    <xf numFmtId="172" fontId="0" fillId="22" borderId="72" xfId="0" applyNumberFormat="1" applyFill="1" applyBorder="1" applyAlignment="1">
      <alignment horizontal="center"/>
    </xf>
    <xf numFmtId="172" fontId="0" fillId="22" borderId="8" xfId="0" applyNumberFormat="1" applyFill="1" applyBorder="1" applyAlignment="1">
      <alignment horizontal="center"/>
    </xf>
    <xf numFmtId="171" fontId="7" fillId="23" borderId="146" xfId="1" applyNumberFormat="1" applyFill="1" applyBorder="1" applyAlignment="1">
      <alignment horizontal="center"/>
    </xf>
    <xf numFmtId="171" fontId="7" fillId="23" borderId="147" xfId="1" applyNumberFormat="1" applyFill="1" applyBorder="1" applyAlignment="1">
      <alignment horizontal="center"/>
    </xf>
    <xf numFmtId="175" fontId="0" fillId="22" borderId="6" xfId="0" applyNumberFormat="1" applyFill="1" applyBorder="1" applyAlignment="1">
      <alignment horizontal="center"/>
    </xf>
    <xf numFmtId="175" fontId="0" fillId="22" borderId="72" xfId="0" applyNumberFormat="1" applyFill="1" applyBorder="1" applyAlignment="1">
      <alignment horizontal="center"/>
    </xf>
    <xf numFmtId="175" fontId="0" fillId="22" borderId="8" xfId="0" applyNumberFormat="1" applyFill="1" applyBorder="1" applyAlignment="1">
      <alignment horizontal="center"/>
    </xf>
    <xf numFmtId="1" fontId="0" fillId="22" borderId="43" xfId="0" applyNumberFormat="1" applyFill="1" applyBorder="1" applyAlignment="1">
      <alignment horizontal="center"/>
    </xf>
    <xf numFmtId="2" fontId="0" fillId="22" borderId="41" xfId="0" applyNumberFormat="1" applyFill="1" applyBorder="1" applyAlignment="1">
      <alignment horizontal="center"/>
    </xf>
    <xf numFmtId="2" fontId="0" fillId="22" borderId="44" xfId="0" applyNumberFormat="1" applyFill="1" applyBorder="1" applyAlignment="1">
      <alignment horizontal="center"/>
    </xf>
    <xf numFmtId="177" fontId="7" fillId="23" borderId="127" xfId="1" applyFill="1" applyBorder="1" applyAlignment="1">
      <alignment horizontal="center"/>
    </xf>
    <xf numFmtId="177" fontId="7" fillId="23" borderId="141" xfId="1" applyFill="1" applyBorder="1" applyAlignment="1">
      <alignment horizontal="center"/>
    </xf>
    <xf numFmtId="177" fontId="7" fillId="23" borderId="128" xfId="1" applyFill="1" applyBorder="1" applyAlignment="1">
      <alignment horizontal="center"/>
    </xf>
    <xf numFmtId="177" fontId="7" fillId="23" borderId="129" xfId="1" applyFill="1" applyBorder="1" applyAlignment="1">
      <alignment horizontal="center"/>
    </xf>
    <xf numFmtId="177" fontId="7" fillId="23" borderId="142" xfId="1" applyFill="1" applyBorder="1" applyAlignment="1">
      <alignment horizontal="center"/>
    </xf>
    <xf numFmtId="178" fontId="7" fillId="23" borderId="142" xfId="1" applyNumberFormat="1" applyFill="1" applyBorder="1" applyAlignment="1">
      <alignment horizontal="center"/>
    </xf>
    <xf numFmtId="177" fontId="7" fillId="23" borderId="130" xfId="1" applyFill="1" applyBorder="1" applyAlignment="1">
      <alignment horizontal="center"/>
    </xf>
    <xf numFmtId="164" fontId="0" fillId="22" borderId="45" xfId="0" applyNumberFormat="1" applyFill="1" applyBorder="1" applyAlignment="1">
      <alignment horizontal="center"/>
    </xf>
    <xf numFmtId="0" fontId="0" fillId="22" borderId="47" xfId="0" applyFill="1" applyBorder="1" applyAlignment="1">
      <alignment horizontal="center"/>
    </xf>
    <xf numFmtId="1" fontId="0" fillId="22" borderId="48" xfId="0" applyNumberFormat="1" applyFill="1" applyBorder="1" applyAlignment="1">
      <alignment horizontal="center"/>
    </xf>
    <xf numFmtId="2" fontId="0" fillId="22" borderId="46" xfId="0" applyNumberFormat="1" applyFill="1" applyBorder="1" applyAlignment="1">
      <alignment horizontal="center"/>
    </xf>
    <xf numFmtId="177" fontId="7" fillId="23" borderId="131" xfId="1" applyFill="1" applyBorder="1" applyAlignment="1">
      <alignment horizontal="center"/>
    </xf>
    <xf numFmtId="177" fontId="7" fillId="23" borderId="143" xfId="1" applyFill="1" applyBorder="1" applyAlignment="1">
      <alignment horizontal="center"/>
    </xf>
    <xf numFmtId="177" fontId="7" fillId="23" borderId="132" xfId="1" applyFill="1" applyBorder="1" applyAlignment="1">
      <alignment horizontal="center"/>
    </xf>
    <xf numFmtId="169" fontId="0" fillId="22" borderId="41" xfId="0" applyNumberFormat="1" applyFill="1" applyBorder="1" applyAlignment="1">
      <alignment horizontal="center"/>
    </xf>
    <xf numFmtId="169" fontId="0" fillId="22" borderId="44" xfId="0" applyNumberFormat="1" applyFill="1" applyBorder="1" applyAlignment="1">
      <alignment horizontal="center"/>
    </xf>
    <xf numFmtId="179" fontId="7" fillId="23" borderId="158" xfId="1" applyNumberFormat="1" applyFill="1" applyBorder="1" applyAlignment="1">
      <alignment horizontal="center"/>
    </xf>
    <xf numFmtId="179" fontId="7" fillId="23" borderId="141" xfId="1" applyNumberFormat="1" applyFill="1" applyBorder="1" applyAlignment="1">
      <alignment horizontal="center"/>
    </xf>
    <xf numFmtId="179" fontId="7" fillId="23" borderId="159" xfId="1" applyNumberFormat="1" applyFill="1" applyBorder="1" applyAlignment="1">
      <alignment horizontal="center"/>
    </xf>
    <xf numFmtId="175" fontId="0" fillId="22" borderId="42" xfId="0" applyNumberFormat="1" applyFill="1" applyBorder="1" applyAlignment="1">
      <alignment horizontal="center"/>
    </xf>
    <xf numFmtId="169" fontId="0" fillId="22" borderId="32" xfId="0" applyNumberFormat="1" applyFill="1" applyBorder="1" applyAlignment="1">
      <alignment horizontal="center"/>
    </xf>
    <xf numFmtId="169" fontId="0" fillId="22" borderId="67" xfId="0" applyNumberFormat="1" applyFill="1" applyBorder="1" applyAlignment="1">
      <alignment horizontal="center"/>
    </xf>
    <xf numFmtId="169" fontId="0" fillId="22" borderId="35" xfId="0" applyNumberFormat="1" applyFill="1" applyBorder="1" applyAlignment="1">
      <alignment horizontal="center"/>
    </xf>
    <xf numFmtId="169" fontId="0" fillId="22" borderId="68" xfId="0" applyNumberFormat="1" applyFill="1" applyBorder="1" applyAlignment="1">
      <alignment horizontal="center"/>
    </xf>
    <xf numFmtId="169" fontId="0" fillId="22" borderId="46" xfId="0" applyNumberFormat="1" applyFill="1" applyBorder="1" applyAlignment="1">
      <alignment horizontal="center"/>
    </xf>
    <xf numFmtId="179" fontId="7" fillId="23" borderId="160" xfId="1" applyNumberFormat="1" applyFill="1" applyBorder="1" applyAlignment="1">
      <alignment horizontal="center"/>
    </xf>
    <xf numFmtId="179" fontId="7" fillId="23" borderId="143" xfId="1" applyNumberFormat="1" applyFill="1" applyBorder="1" applyAlignment="1">
      <alignment horizontal="center"/>
    </xf>
    <xf numFmtId="179" fontId="7" fillId="23" borderId="161" xfId="1" applyNumberFormat="1" applyFill="1" applyBorder="1" applyAlignment="1">
      <alignment horizontal="center"/>
    </xf>
    <xf numFmtId="175" fontId="0" fillId="22" borderId="0" xfId="0" applyNumberFormat="1" applyFill="1" applyBorder="1" applyAlignment="1">
      <alignment horizontal="center"/>
    </xf>
    <xf numFmtId="0" fontId="0" fillId="22" borderId="0" xfId="0" applyFill="1" applyAlignment="1">
      <alignment horizontal="center"/>
    </xf>
    <xf numFmtId="2" fontId="0" fillId="22" borderId="29" xfId="0" applyNumberFormat="1" applyFill="1" applyBorder="1" applyAlignment="1">
      <alignment horizontal="center"/>
    </xf>
    <xf numFmtId="171" fontId="0" fillId="22" borderId="29" xfId="0" applyNumberFormat="1" applyFill="1" applyBorder="1" applyAlignment="1">
      <alignment horizontal="center"/>
    </xf>
    <xf numFmtId="2" fontId="0" fillId="22" borderId="31" xfId="0" applyNumberFormat="1" applyFill="1" applyBorder="1" applyAlignment="1">
      <alignment horizontal="center"/>
    </xf>
    <xf numFmtId="0" fontId="0" fillId="22" borderId="28" xfId="0" applyFill="1" applyBorder="1" applyAlignment="1">
      <alignment horizontal="center"/>
    </xf>
    <xf numFmtId="175" fontId="0" fillId="22" borderId="29" xfId="0" applyNumberFormat="1" applyFill="1" applyBorder="1" applyAlignment="1">
      <alignment horizontal="center"/>
    </xf>
    <xf numFmtId="171" fontId="0" fillId="22" borderId="33" xfId="0" applyNumberFormat="1" applyFill="1" applyBorder="1" applyAlignment="1">
      <alignment horizontal="center"/>
    </xf>
    <xf numFmtId="2" fontId="0" fillId="22" borderId="35" xfId="0" applyNumberFormat="1" applyFill="1" applyBorder="1" applyAlignment="1">
      <alignment horizontal="center"/>
    </xf>
    <xf numFmtId="0" fontId="0" fillId="22" borderId="32" xfId="0" applyFill="1" applyBorder="1" applyAlignment="1">
      <alignment horizontal="center"/>
    </xf>
    <xf numFmtId="182" fontId="0" fillId="22" borderId="33" xfId="0" applyNumberFormat="1" applyFill="1" applyBorder="1" applyAlignment="1">
      <alignment horizontal="center"/>
    </xf>
    <xf numFmtId="181" fontId="0" fillId="22" borderId="33" xfId="0" applyNumberFormat="1" applyFill="1" applyBorder="1" applyAlignment="1">
      <alignment horizontal="center"/>
    </xf>
    <xf numFmtId="164" fontId="0" fillId="22" borderId="34" xfId="0" applyNumberFormat="1" applyFill="1" applyBorder="1" applyAlignment="1">
      <alignment horizontal="center"/>
    </xf>
    <xf numFmtId="2" fontId="0" fillId="22" borderId="37" xfId="0" applyNumberFormat="1" applyFill="1" applyBorder="1" applyAlignment="1">
      <alignment horizontal="center"/>
    </xf>
    <xf numFmtId="0" fontId="0" fillId="22" borderId="36" xfId="0" applyFill="1" applyBorder="1" applyAlignment="1">
      <alignment horizontal="center"/>
    </xf>
    <xf numFmtId="175" fontId="0" fillId="22" borderId="7" xfId="0" applyNumberFormat="1" applyFill="1" applyBorder="1" applyAlignment="1">
      <alignment horizontal="center"/>
    </xf>
    <xf numFmtId="0" fontId="0" fillId="22" borderId="71" xfId="0" applyFill="1" applyBorder="1" applyAlignment="1">
      <alignment horizontal="center"/>
    </xf>
    <xf numFmtId="177" fontId="7" fillId="24" borderId="29" xfId="1" applyFill="1" applyBorder="1" applyAlignment="1">
      <alignment horizontal="center"/>
    </xf>
    <xf numFmtId="177" fontId="7" fillId="24" borderId="71" xfId="1" applyFill="1" applyBorder="1" applyAlignment="1">
      <alignment horizontal="center"/>
    </xf>
    <xf numFmtId="175" fontId="0" fillId="22" borderId="123" xfId="0" applyNumberFormat="1" applyFill="1" applyBorder="1" applyAlignment="1">
      <alignment horizontal="center"/>
    </xf>
    <xf numFmtId="0" fontId="0" fillId="22" borderId="67" xfId="0" applyFill="1" applyBorder="1" applyAlignment="1">
      <alignment horizontal="center"/>
    </xf>
    <xf numFmtId="177" fontId="7" fillId="24" borderId="33" xfId="1" applyFill="1" applyBorder="1" applyAlignment="1">
      <alignment horizontal="center"/>
    </xf>
    <xf numFmtId="177" fontId="7" fillId="24" borderId="67" xfId="1" applyFill="1" applyBorder="1" applyAlignment="1">
      <alignment horizontal="center"/>
    </xf>
    <xf numFmtId="175" fontId="0" fillId="22" borderId="109" xfId="0" applyNumberFormat="1" applyFill="1" applyBorder="1" applyAlignment="1">
      <alignment horizontal="center"/>
    </xf>
    <xf numFmtId="178" fontId="7" fillId="24" borderId="33" xfId="1" applyNumberFormat="1" applyFill="1" applyBorder="1" applyAlignment="1">
      <alignment horizontal="center"/>
    </xf>
    <xf numFmtId="0" fontId="0" fillId="22" borderId="70" xfId="0" applyFill="1" applyBorder="1" applyAlignment="1">
      <alignment horizontal="center"/>
    </xf>
    <xf numFmtId="177" fontId="7" fillId="24" borderId="37" xfId="1" applyFill="1" applyBorder="1" applyAlignment="1">
      <alignment horizontal="center"/>
    </xf>
    <xf numFmtId="177" fontId="7" fillId="24" borderId="70" xfId="1" applyFill="1" applyBorder="1" applyAlignment="1">
      <alignment horizontal="center"/>
    </xf>
    <xf numFmtId="175" fontId="0" fillId="22" borderId="111" xfId="0" applyNumberFormat="1" applyFill="1" applyBorder="1" applyAlignment="1">
      <alignment horizontal="center"/>
    </xf>
    <xf numFmtId="0" fontId="0" fillId="22" borderId="41" xfId="0" applyFill="1" applyBorder="1" applyAlignment="1">
      <alignment horizontal="center"/>
    </xf>
    <xf numFmtId="0" fontId="0" fillId="22" borderId="69" xfId="0" applyFill="1" applyBorder="1" applyAlignment="1">
      <alignment horizontal="center"/>
    </xf>
    <xf numFmtId="177" fontId="7" fillId="24" borderId="168" xfId="1" applyFill="1" applyBorder="1" applyAlignment="1">
      <alignment horizontal="center"/>
    </xf>
    <xf numFmtId="177" fontId="7" fillId="24" borderId="69" xfId="1" applyFill="1" applyBorder="1" applyAlignment="1">
      <alignment horizontal="center"/>
    </xf>
    <xf numFmtId="178" fontId="7" fillId="24" borderId="69" xfId="1" applyNumberFormat="1" applyFill="1" applyBorder="1" applyAlignment="1">
      <alignment horizontal="center"/>
    </xf>
    <xf numFmtId="177" fontId="7" fillId="24" borderId="169" xfId="1" applyFill="1" applyBorder="1" applyAlignment="1">
      <alignment horizontal="center"/>
    </xf>
    <xf numFmtId="175" fontId="0" fillId="22" borderId="120" xfId="0" applyNumberFormat="1" applyFill="1" applyBorder="1" applyAlignment="1">
      <alignment horizontal="center"/>
    </xf>
    <xf numFmtId="177" fontId="7" fillId="24" borderId="162" xfId="1" applyFill="1" applyBorder="1" applyAlignment="1">
      <alignment horizontal="center"/>
    </xf>
    <xf numFmtId="178" fontId="7" fillId="24" borderId="67" xfId="1" applyNumberFormat="1" applyFill="1" applyBorder="1" applyAlignment="1">
      <alignment horizontal="center"/>
    </xf>
    <xf numFmtId="177" fontId="7" fillId="24" borderId="163" xfId="1" applyFill="1" applyBorder="1" applyAlignment="1">
      <alignment horizontal="center"/>
    </xf>
    <xf numFmtId="0" fontId="0" fillId="22" borderId="45" xfId="0" applyFill="1" applyBorder="1" applyAlignment="1">
      <alignment horizontal="center"/>
    </xf>
    <xf numFmtId="0" fontId="0" fillId="22" borderId="68" xfId="0" applyFill="1" applyBorder="1" applyAlignment="1">
      <alignment horizontal="center"/>
    </xf>
    <xf numFmtId="177" fontId="7" fillId="24" borderId="166" xfId="1" applyFill="1" applyBorder="1" applyAlignment="1">
      <alignment horizontal="center"/>
    </xf>
    <xf numFmtId="177" fontId="7" fillId="24" borderId="68" xfId="1" applyFill="1" applyBorder="1" applyAlignment="1">
      <alignment horizontal="center"/>
    </xf>
    <xf numFmtId="177" fontId="7" fillId="24" borderId="167" xfId="1" applyFill="1" applyBorder="1" applyAlignment="1">
      <alignment horizontal="center"/>
    </xf>
    <xf numFmtId="175" fontId="0" fillId="22" borderId="117" xfId="0" applyNumberFormat="1" applyFill="1" applyBorder="1" applyAlignment="1">
      <alignment horizontal="center"/>
    </xf>
    <xf numFmtId="169" fontId="0" fillId="22" borderId="31" xfId="0" applyNumberFormat="1" applyFill="1" applyBorder="1" applyAlignment="1">
      <alignment horizontal="center"/>
    </xf>
    <xf numFmtId="177" fontId="7" fillId="24" borderId="170" xfId="1" applyFill="1" applyBorder="1" applyAlignment="1">
      <alignment horizontal="center"/>
    </xf>
    <xf numFmtId="169" fontId="0" fillId="22" borderId="39" xfId="0" applyNumberFormat="1" applyFill="1" applyBorder="1" applyAlignment="1">
      <alignment horizontal="center"/>
    </xf>
    <xf numFmtId="177" fontId="7" fillId="24" borderId="172" xfId="1" applyFill="1" applyBorder="1" applyAlignment="1">
      <alignment horizontal="center"/>
    </xf>
    <xf numFmtId="183" fontId="7" fillId="24" borderId="67" xfId="1" applyNumberFormat="1" applyFill="1" applyBorder="1" applyAlignment="1">
      <alignment horizontal="center"/>
    </xf>
    <xf numFmtId="177" fontId="7" fillId="24" borderId="40" xfId="1" applyFill="1" applyBorder="1" applyAlignment="1">
      <alignment horizontal="center"/>
    </xf>
    <xf numFmtId="11" fontId="0" fillId="22" borderId="67" xfId="0" applyNumberFormat="1" applyFill="1" applyBorder="1" applyAlignment="1">
      <alignment horizontal="center"/>
    </xf>
    <xf numFmtId="1" fontId="0" fillId="22" borderId="6" xfId="0" applyNumberFormat="1" applyFill="1" applyBorder="1" applyAlignment="1">
      <alignment horizontal="center"/>
    </xf>
    <xf numFmtId="0" fontId="0" fillId="22" borderId="62" xfId="0" applyFill="1" applyBorder="1" applyAlignment="1">
      <alignment horizontal="center"/>
    </xf>
    <xf numFmtId="0" fontId="0" fillId="22" borderId="7" xfId="0" applyFill="1" applyBorder="1" applyAlignment="1">
      <alignment horizontal="center"/>
    </xf>
    <xf numFmtId="1" fontId="0" fillId="22" borderId="10" xfId="0" applyNumberFormat="1" applyFill="1" applyBorder="1" applyAlignment="1">
      <alignment horizontal="center"/>
    </xf>
    <xf numFmtId="0" fontId="0" fillId="22" borderId="8" xfId="0" applyFill="1" applyBorder="1" applyAlignment="1">
      <alignment horizontal="center"/>
    </xf>
    <xf numFmtId="0" fontId="0" fillId="22" borderId="72" xfId="0" applyFill="1" applyBorder="1" applyAlignment="1">
      <alignment horizontal="center"/>
    </xf>
    <xf numFmtId="0" fontId="0" fillId="22" borderId="6" xfId="0" applyFill="1" applyBorder="1" applyAlignment="1">
      <alignment horizontal="center"/>
    </xf>
    <xf numFmtId="0" fontId="0" fillId="22" borderId="4" xfId="0" applyFill="1" applyBorder="1" applyAlignment="1">
      <alignment horizontal="center"/>
    </xf>
    <xf numFmtId="0" fontId="0" fillId="22" borderId="59" xfId="0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0" fillId="22" borderId="5" xfId="0" applyFill="1" applyBorder="1" applyAlignment="1">
      <alignment horizontal="center"/>
    </xf>
    <xf numFmtId="170" fontId="0" fillId="22" borderId="4" xfId="0" applyNumberFormat="1" applyFill="1" applyBorder="1" applyAlignment="1">
      <alignment horizontal="center"/>
    </xf>
    <xf numFmtId="170" fontId="0" fillId="22" borderId="75" xfId="0" applyNumberFormat="1" applyFill="1" applyBorder="1" applyAlignment="1">
      <alignment horizontal="center"/>
    </xf>
    <xf numFmtId="2" fontId="0" fillId="22" borderId="5" xfId="0" applyNumberFormat="1" applyFill="1" applyBorder="1" applyAlignment="1">
      <alignment horizontal="center"/>
    </xf>
    <xf numFmtId="170" fontId="0" fillId="22" borderId="5" xfId="0" applyNumberFormat="1" applyFill="1" applyBorder="1" applyAlignment="1">
      <alignment horizontal="center"/>
    </xf>
    <xf numFmtId="175" fontId="0" fillId="22" borderId="37" xfId="0" applyNumberFormat="1" applyFill="1" applyBorder="1" applyAlignment="1">
      <alignment horizontal="center"/>
    </xf>
    <xf numFmtId="11" fontId="0" fillId="22" borderId="42" xfId="0" applyNumberFormat="1" applyFill="1" applyBorder="1" applyAlignment="1">
      <alignment horizontal="center"/>
    </xf>
    <xf numFmtId="175" fontId="0" fillId="22" borderId="77" xfId="0" applyNumberFormat="1" applyFill="1" applyBorder="1" applyAlignment="1">
      <alignment horizontal="center"/>
    </xf>
    <xf numFmtId="0" fontId="5" fillId="22" borderId="55" xfId="0" applyFont="1" applyFill="1" applyBorder="1" applyAlignment="1">
      <alignment horizontal="center"/>
    </xf>
    <xf numFmtId="11" fontId="0" fillId="22" borderId="71" xfId="0" applyNumberFormat="1" applyFill="1" applyBorder="1" applyAlignment="1">
      <alignment horizontal="center"/>
    </xf>
    <xf numFmtId="175" fontId="0" fillId="22" borderId="33" xfId="0" applyNumberFormat="1" applyFill="1" applyBorder="1" applyAlignment="1">
      <alignment horizontal="center"/>
    </xf>
    <xf numFmtId="11" fontId="0" fillId="22" borderId="32" xfId="0" applyNumberFormat="1" applyFill="1" applyBorder="1" applyAlignment="1">
      <alignment horizontal="center"/>
    </xf>
    <xf numFmtId="11" fontId="0" fillId="22" borderId="35" xfId="0" applyNumberFormat="1" applyFill="1" applyBorder="1" applyAlignment="1">
      <alignment horizontal="center"/>
    </xf>
    <xf numFmtId="11" fontId="0" fillId="22" borderId="70" xfId="0" applyNumberFormat="1" applyFill="1" applyBorder="1" applyAlignment="1">
      <alignment horizontal="center"/>
    </xf>
    <xf numFmtId="11" fontId="0" fillId="22" borderId="28" xfId="0" applyNumberFormat="1" applyFill="1" applyBorder="1" applyAlignment="1">
      <alignment horizontal="center"/>
    </xf>
    <xf numFmtId="11" fontId="0" fillId="22" borderId="31" xfId="0" applyNumberFormat="1" applyFill="1" applyBorder="1" applyAlignment="1">
      <alignment horizontal="center"/>
    </xf>
    <xf numFmtId="180" fontId="0" fillId="22" borderId="4" xfId="0" applyNumberFormat="1" applyFill="1" applyBorder="1" applyAlignment="1">
      <alignment horizontal="center"/>
    </xf>
    <xf numFmtId="180" fontId="0" fillId="22" borderId="75" xfId="0" applyNumberFormat="1" applyFill="1" applyBorder="1" applyAlignment="1">
      <alignment horizontal="center"/>
    </xf>
    <xf numFmtId="180" fontId="0" fillId="22" borderId="5" xfId="0" applyNumberFormat="1" applyFill="1" applyBorder="1" applyAlignment="1">
      <alignment horizontal="center"/>
    </xf>
    <xf numFmtId="176" fontId="0" fillId="22" borderId="4" xfId="0" applyNumberFormat="1" applyFill="1" applyBorder="1" applyAlignment="1">
      <alignment horizontal="center"/>
    </xf>
    <xf numFmtId="176" fontId="0" fillId="22" borderId="75" xfId="0" applyNumberFormat="1" applyFill="1" applyBorder="1" applyAlignment="1">
      <alignment horizontal="center"/>
    </xf>
    <xf numFmtId="176" fontId="0" fillId="22" borderId="5" xfId="0" applyNumberFormat="1" applyFill="1" applyBorder="1" applyAlignment="1">
      <alignment horizontal="center"/>
    </xf>
    <xf numFmtId="180" fontId="0" fillId="22" borderId="32" xfId="0" applyNumberFormat="1" applyFill="1" applyBorder="1" applyAlignment="1">
      <alignment horizontal="center"/>
    </xf>
    <xf numFmtId="180" fontId="0" fillId="22" borderId="67" xfId="0" applyNumberFormat="1" applyFill="1" applyBorder="1" applyAlignment="1">
      <alignment horizontal="center"/>
    </xf>
    <xf numFmtId="180" fontId="0" fillId="22" borderId="35" xfId="0" applyNumberFormat="1" applyFill="1" applyBorder="1" applyAlignment="1">
      <alignment horizontal="center"/>
    </xf>
    <xf numFmtId="176" fontId="0" fillId="22" borderId="32" xfId="0" applyNumberFormat="1" applyFill="1" applyBorder="1" applyAlignment="1">
      <alignment horizontal="center"/>
    </xf>
    <xf numFmtId="176" fontId="0" fillId="22" borderId="67" xfId="0" applyNumberFormat="1" applyFill="1" applyBorder="1" applyAlignment="1">
      <alignment horizontal="center"/>
    </xf>
    <xf numFmtId="176" fontId="0" fillId="22" borderId="35" xfId="0" applyNumberFormat="1" applyFill="1" applyBorder="1" applyAlignment="1">
      <alignment horizontal="center"/>
    </xf>
    <xf numFmtId="180" fontId="0" fillId="22" borderId="42" xfId="0" applyNumberFormat="1" applyFill="1" applyBorder="1" applyAlignment="1">
      <alignment horizontal="center"/>
    </xf>
    <xf numFmtId="180" fontId="0" fillId="22" borderId="69" xfId="0" applyNumberFormat="1" applyFill="1" applyBorder="1" applyAlignment="1">
      <alignment horizontal="center"/>
    </xf>
    <xf numFmtId="174" fontId="0" fillId="22" borderId="2" xfId="0" applyNumberFormat="1" applyFill="1" applyBorder="1" applyAlignment="1">
      <alignment horizontal="center"/>
    </xf>
    <xf numFmtId="180" fontId="0" fillId="22" borderId="33" xfId="0" applyNumberFormat="1" applyFill="1" applyBorder="1" applyAlignment="1">
      <alignment horizontal="center"/>
    </xf>
    <xf numFmtId="174" fontId="0" fillId="22" borderId="110" xfId="0" applyNumberFormat="1" applyFill="1" applyBorder="1" applyAlignment="1">
      <alignment horizontal="center"/>
    </xf>
    <xf numFmtId="180" fontId="0" fillId="22" borderId="0" xfId="0" applyNumberFormat="1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0" fillId="22" borderId="53" xfId="0" applyFill="1" applyBorder="1" applyAlignment="1">
      <alignment horizontal="center"/>
    </xf>
    <xf numFmtId="0" fontId="0" fillId="22" borderId="2" xfId="0" applyFill="1" applyBorder="1" applyAlignment="1">
      <alignment horizontal="center"/>
    </xf>
    <xf numFmtId="0" fontId="0" fillId="22" borderId="3" xfId="0" applyFill="1" applyBorder="1" applyAlignment="1">
      <alignment horizontal="center"/>
    </xf>
    <xf numFmtId="0" fontId="0" fillId="22" borderId="73" xfId="0" applyFill="1" applyBorder="1" applyAlignment="1">
      <alignment horizontal="center"/>
    </xf>
    <xf numFmtId="0" fontId="0" fillId="22" borderId="75" xfId="0" applyFill="1" applyBorder="1" applyAlignment="1">
      <alignment horizontal="center"/>
    </xf>
    <xf numFmtId="173" fontId="0" fillId="22" borderId="1" xfId="0" applyNumberFormat="1" applyFill="1" applyBorder="1" applyAlignment="1">
      <alignment horizontal="center"/>
    </xf>
    <xf numFmtId="175" fontId="0" fillId="22" borderId="2" xfId="0" applyNumberFormat="1" applyFill="1" applyBorder="1" applyAlignment="1">
      <alignment horizontal="center"/>
    </xf>
    <xf numFmtId="173" fontId="0" fillId="22" borderId="28" xfId="0" applyNumberFormat="1" applyFill="1" applyBorder="1" applyAlignment="1">
      <alignment horizontal="center"/>
    </xf>
    <xf numFmtId="175" fontId="0" fillId="22" borderId="76" xfId="0" applyNumberFormat="1" applyFill="1" applyBorder="1" applyAlignment="1">
      <alignment horizontal="center"/>
    </xf>
    <xf numFmtId="173" fontId="0" fillId="22" borderId="32" xfId="0" applyNumberFormat="1" applyFill="1" applyBorder="1" applyAlignment="1">
      <alignment horizontal="center"/>
    </xf>
    <xf numFmtId="173" fontId="0" fillId="22" borderId="36" xfId="0" applyNumberFormat="1" applyFill="1" applyBorder="1" applyAlignment="1">
      <alignment horizontal="center"/>
    </xf>
    <xf numFmtId="171" fontId="0" fillId="22" borderId="70" xfId="0" applyNumberFormat="1" applyFill="1" applyBorder="1" applyAlignment="1">
      <alignment horizontal="center"/>
    </xf>
    <xf numFmtId="171" fontId="0" fillId="22" borderId="39" xfId="0" applyNumberFormat="1" applyFill="1" applyBorder="1" applyAlignment="1">
      <alignment horizontal="center"/>
    </xf>
    <xf numFmtId="175" fontId="0" fillId="22" borderId="78" xfId="0" applyNumberFormat="1" applyFill="1" applyBorder="1" applyAlignment="1">
      <alignment horizontal="center"/>
    </xf>
    <xf numFmtId="2" fontId="0" fillId="22" borderId="71" xfId="0" applyNumberFormat="1" applyFill="1" applyBorder="1" applyAlignment="1">
      <alignment horizontal="center"/>
    </xf>
    <xf numFmtId="167" fontId="0" fillId="22" borderId="71" xfId="0" applyNumberFormat="1" applyFill="1" applyBorder="1" applyAlignment="1">
      <alignment horizontal="center"/>
    </xf>
    <xf numFmtId="168" fontId="0" fillId="22" borderId="28" xfId="0" applyNumberFormat="1" applyFill="1" applyBorder="1" applyAlignment="1">
      <alignment horizontal="center"/>
    </xf>
    <xf numFmtId="168" fontId="0" fillId="22" borderId="71" xfId="0" applyNumberFormat="1" applyFill="1" applyBorder="1" applyAlignment="1">
      <alignment horizontal="center"/>
    </xf>
    <xf numFmtId="1" fontId="0" fillId="22" borderId="1" xfId="0" applyNumberFormat="1" applyFill="1" applyBorder="1" applyAlignment="1">
      <alignment horizontal="center"/>
    </xf>
    <xf numFmtId="170" fontId="0" fillId="22" borderId="73" xfId="0" applyNumberFormat="1" applyFill="1" applyBorder="1" applyAlignment="1">
      <alignment horizontal="center"/>
    </xf>
    <xf numFmtId="171" fontId="0" fillId="22" borderId="73" xfId="0" applyNumberFormat="1" applyFill="1" applyBorder="1" applyAlignment="1">
      <alignment horizontal="center"/>
    </xf>
    <xf numFmtId="171" fontId="0" fillId="22" borderId="3" xfId="0" applyNumberFormat="1" applyFill="1" applyBorder="1" applyAlignment="1">
      <alignment horizontal="center"/>
    </xf>
    <xf numFmtId="173" fontId="0" fillId="22" borderId="6" xfId="0" applyNumberFormat="1" applyFill="1" applyBorder="1" applyAlignment="1">
      <alignment horizontal="center"/>
    </xf>
    <xf numFmtId="171" fontId="0" fillId="22" borderId="72" xfId="0" applyNumberFormat="1" applyFill="1" applyBorder="1" applyAlignment="1">
      <alignment horizontal="center"/>
    </xf>
    <xf numFmtId="171" fontId="0" fillId="22" borderId="8" xfId="0" applyNumberFormat="1" applyFill="1" applyBorder="1" applyAlignment="1">
      <alignment horizontal="center"/>
    </xf>
    <xf numFmtId="0" fontId="0" fillId="22" borderId="123" xfId="0" applyFill="1" applyBorder="1" applyAlignment="1">
      <alignment horizontal="center"/>
    </xf>
    <xf numFmtId="0" fontId="0" fillId="22" borderId="125" xfId="0" applyFill="1" applyBorder="1" applyAlignment="1">
      <alignment horizontal="center"/>
    </xf>
    <xf numFmtId="175" fontId="0" fillId="22" borderId="139" xfId="0" applyNumberFormat="1" applyFill="1" applyBorder="1" applyAlignment="1">
      <alignment horizontal="center"/>
    </xf>
    <xf numFmtId="0" fontId="0" fillId="22" borderId="109" xfId="0" applyFill="1" applyBorder="1" applyAlignment="1">
      <alignment horizontal="center"/>
    </xf>
    <xf numFmtId="0" fontId="0" fillId="22" borderId="101" xfId="0" applyFill="1" applyBorder="1" applyAlignment="1">
      <alignment horizontal="center"/>
    </xf>
    <xf numFmtId="175" fontId="0" fillId="22" borderId="178" xfId="0" applyNumberFormat="1" applyFill="1" applyBorder="1" applyAlignment="1">
      <alignment horizontal="center"/>
    </xf>
    <xf numFmtId="0" fontId="0" fillId="22" borderId="111" xfId="0" applyFill="1" applyBorder="1" applyAlignment="1">
      <alignment horizontal="center"/>
    </xf>
    <xf numFmtId="0" fontId="0" fillId="22" borderId="116" xfId="0" applyFill="1" applyBorder="1" applyAlignment="1">
      <alignment horizontal="center"/>
    </xf>
    <xf numFmtId="175" fontId="0" fillId="22" borderId="140" xfId="0" applyNumberFormat="1" applyFill="1" applyBorder="1" applyAlignment="1">
      <alignment horizontal="center"/>
    </xf>
    <xf numFmtId="168" fontId="0" fillId="22" borderId="36" xfId="0" applyNumberFormat="1" applyFill="1" applyBorder="1" applyAlignment="1">
      <alignment horizontal="center"/>
    </xf>
    <xf numFmtId="168" fontId="0" fillId="22" borderId="70" xfId="0" applyNumberFormat="1" applyFill="1" applyBorder="1" applyAlignment="1">
      <alignment horizontal="center"/>
    </xf>
    <xf numFmtId="167" fontId="0" fillId="22" borderId="70" xfId="0" applyNumberFormat="1" applyFill="1" applyBorder="1" applyAlignment="1">
      <alignment horizontal="center"/>
    </xf>
    <xf numFmtId="0" fontId="0" fillId="22" borderId="96" xfId="0" applyFill="1" applyBorder="1" applyAlignment="1">
      <alignment horizontal="center"/>
    </xf>
    <xf numFmtId="0" fontId="0" fillId="22" borderId="105" xfId="0" applyFill="1" applyBorder="1" applyAlignment="1">
      <alignment horizontal="center"/>
    </xf>
    <xf numFmtId="168" fontId="0" fillId="22" borderId="2" xfId="0" applyNumberFormat="1" applyFill="1" applyBorder="1" applyAlignment="1">
      <alignment horizontal="center"/>
    </xf>
    <xf numFmtId="168" fontId="0" fillId="22" borderId="105" xfId="0" applyNumberFormat="1" applyFill="1" applyBorder="1" applyAlignment="1">
      <alignment horizontal="center"/>
    </xf>
    <xf numFmtId="175" fontId="0" fillId="22" borderId="105" xfId="0" applyNumberFormat="1" applyFill="1" applyBorder="1" applyAlignment="1">
      <alignment horizontal="center"/>
    </xf>
    <xf numFmtId="0" fontId="0" fillId="22" borderId="110" xfId="0" applyFill="1" applyBorder="1" applyAlignment="1">
      <alignment horizontal="center"/>
    </xf>
    <xf numFmtId="168" fontId="0" fillId="22" borderId="110" xfId="0" applyNumberFormat="1" applyFill="1" applyBorder="1" applyAlignment="1">
      <alignment horizontal="center"/>
    </xf>
    <xf numFmtId="175" fontId="0" fillId="22" borderId="110" xfId="0" applyNumberFormat="1" applyFill="1" applyBorder="1" applyAlignment="1">
      <alignment horizontal="center"/>
    </xf>
    <xf numFmtId="0" fontId="0" fillId="22" borderId="108" xfId="0" applyFill="1" applyBorder="1" applyAlignment="1">
      <alignment horizontal="center"/>
    </xf>
    <xf numFmtId="0" fontId="0" fillId="22" borderId="107" xfId="0" applyFill="1" applyBorder="1" applyAlignment="1">
      <alignment horizontal="center"/>
    </xf>
    <xf numFmtId="168" fontId="0" fillId="22" borderId="7" xfId="0" applyNumberFormat="1" applyFill="1" applyBorder="1" applyAlignment="1">
      <alignment horizontal="center"/>
    </xf>
    <xf numFmtId="168" fontId="0" fillId="22" borderId="107" xfId="0" applyNumberFormat="1" applyFill="1" applyBorder="1" applyAlignment="1">
      <alignment horizontal="center"/>
    </xf>
    <xf numFmtId="175" fontId="0" fillId="22" borderId="107" xfId="0" applyNumberFormat="1" applyFill="1" applyBorder="1" applyAlignment="1">
      <alignment horizontal="center"/>
    </xf>
    <xf numFmtId="1" fontId="0" fillId="22" borderId="31" xfId="0" applyNumberFormat="1" applyFill="1" applyBorder="1" applyAlignment="1">
      <alignment horizontal="center"/>
    </xf>
    <xf numFmtId="1" fontId="0" fillId="22" borderId="35" xfId="0" applyNumberFormat="1" applyFill="1" applyBorder="1" applyAlignment="1">
      <alignment horizontal="center"/>
    </xf>
    <xf numFmtId="174" fontId="0" fillId="22" borderId="35" xfId="0" applyNumberFormat="1" applyFill="1" applyBorder="1" applyAlignment="1">
      <alignment horizontal="center"/>
    </xf>
    <xf numFmtId="1" fontId="0" fillId="22" borderId="8" xfId="0" applyNumberFormat="1" applyFill="1" applyBorder="1" applyAlignment="1">
      <alignment horizontal="center"/>
    </xf>
    <xf numFmtId="171" fontId="0" fillId="22" borderId="6" xfId="0" applyNumberFormat="1" applyFill="1" applyBorder="1" applyAlignment="1">
      <alignment horizontal="center"/>
    </xf>
    <xf numFmtId="174" fontId="0" fillId="22" borderId="8" xfId="0" applyNumberFormat="1" applyFill="1" applyBorder="1" applyAlignment="1">
      <alignment horizontal="center"/>
    </xf>
    <xf numFmtId="168" fontId="0" fillId="22" borderId="72" xfId="0" applyNumberFormat="1" applyFill="1" applyBorder="1" applyAlignment="1">
      <alignment horizontal="center"/>
    </xf>
    <xf numFmtId="0" fontId="0" fillId="22" borderId="93" xfId="0" applyFill="1" applyBorder="1" applyAlignment="1">
      <alignment horizontal="center"/>
    </xf>
    <xf numFmtId="1" fontId="0" fillId="22" borderId="4" xfId="0" applyNumberFormat="1" applyFill="1" applyBorder="1" applyAlignment="1">
      <alignment horizontal="center"/>
    </xf>
    <xf numFmtId="172" fontId="0" fillId="22" borderId="4" xfId="0" applyNumberFormat="1" applyFill="1" applyBorder="1" applyAlignment="1">
      <alignment horizontal="center"/>
    </xf>
    <xf numFmtId="172" fontId="0" fillId="22" borderId="73" xfId="0" applyNumberFormat="1" applyFill="1" applyBorder="1" applyAlignment="1">
      <alignment horizontal="center"/>
    </xf>
    <xf numFmtId="172" fontId="0" fillId="22" borderId="75" xfId="0" applyNumberFormat="1" applyFill="1" applyBorder="1" applyAlignment="1">
      <alignment horizontal="center"/>
    </xf>
    <xf numFmtId="172" fontId="0" fillId="22" borderId="5" xfId="0" applyNumberFormat="1" applyFill="1" applyBorder="1" applyAlignment="1">
      <alignment horizontal="center"/>
    </xf>
    <xf numFmtId="175" fontId="0" fillId="22" borderId="92" xfId="0" applyNumberFormat="1" applyFill="1" applyBorder="1" applyAlignment="1">
      <alignment horizontal="center"/>
    </xf>
    <xf numFmtId="0" fontId="0" fillId="22" borderId="113" xfId="0" applyFill="1" applyBorder="1" applyAlignment="1">
      <alignment horizontal="center"/>
    </xf>
    <xf numFmtId="0" fontId="0" fillId="22" borderId="115" xfId="0" applyFill="1" applyBorder="1" applyAlignment="1">
      <alignment horizontal="center"/>
    </xf>
    <xf numFmtId="175" fontId="0" fillId="22" borderId="87" xfId="0" applyNumberFormat="1" applyFill="1" applyBorder="1" applyAlignment="1">
      <alignment horizontal="center"/>
    </xf>
    <xf numFmtId="0" fontId="0" fillId="22" borderId="63" xfId="0" applyFill="1" applyBorder="1" applyAlignment="1">
      <alignment horizontal="center"/>
    </xf>
    <xf numFmtId="0" fontId="0" fillId="22" borderId="64" xfId="0" applyFill="1" applyBorder="1" applyAlignment="1">
      <alignment horizontal="center"/>
    </xf>
    <xf numFmtId="0" fontId="0" fillId="22" borderId="81" xfId="0" applyFill="1" applyBorder="1" applyAlignment="1">
      <alignment horizontal="center"/>
    </xf>
    <xf numFmtId="172" fontId="0" fillId="22" borderId="63" xfId="0" applyNumberFormat="1" applyFill="1" applyBorder="1" applyAlignment="1">
      <alignment horizontal="center"/>
    </xf>
    <xf numFmtId="172" fontId="0" fillId="22" borderId="103" xfId="0" applyNumberFormat="1" applyFill="1" applyBorder="1" applyAlignment="1">
      <alignment horizontal="center"/>
    </xf>
    <xf numFmtId="172" fontId="0" fillId="22" borderId="65" xfId="0" applyNumberFormat="1" applyFill="1" applyBorder="1" applyAlignment="1">
      <alignment horizontal="center"/>
    </xf>
    <xf numFmtId="0" fontId="0" fillId="22" borderId="103" xfId="0" applyFill="1" applyBorder="1" applyAlignment="1">
      <alignment horizontal="center"/>
    </xf>
    <xf numFmtId="0" fontId="0" fillId="22" borderId="65" xfId="0" applyFill="1" applyBorder="1" applyAlignment="1">
      <alignment horizontal="center"/>
    </xf>
    <xf numFmtId="175" fontId="0" fillId="22" borderId="63" xfId="0" applyNumberFormat="1" applyFill="1" applyBorder="1" applyAlignment="1">
      <alignment horizontal="center"/>
    </xf>
    <xf numFmtId="175" fontId="0" fillId="22" borderId="103" xfId="0" applyNumberFormat="1" applyFill="1" applyBorder="1" applyAlignment="1">
      <alignment horizontal="center"/>
    </xf>
    <xf numFmtId="175" fontId="0" fillId="22" borderId="65" xfId="0" applyNumberFormat="1" applyFill="1" applyBorder="1" applyAlignment="1">
      <alignment horizontal="center"/>
    </xf>
    <xf numFmtId="11" fontId="0" fillId="22" borderId="2" xfId="0" applyNumberFormat="1" applyFill="1" applyBorder="1" applyAlignment="1">
      <alignment horizontal="center"/>
    </xf>
    <xf numFmtId="11" fontId="0" fillId="22" borderId="73" xfId="0" applyNumberFormat="1" applyFill="1" applyBorder="1" applyAlignment="1">
      <alignment horizontal="center"/>
    </xf>
    <xf numFmtId="11" fontId="0" fillId="22" borderId="37" xfId="0" applyNumberFormat="1" applyFill="1" applyBorder="1" applyAlignment="1">
      <alignment horizontal="center"/>
    </xf>
    <xf numFmtId="11" fontId="0" fillId="22" borderId="69" xfId="0" applyNumberFormat="1" applyFill="1" applyBorder="1" applyAlignment="1">
      <alignment horizontal="center"/>
    </xf>
    <xf numFmtId="11" fontId="0" fillId="22" borderId="33" xfId="0" applyNumberFormat="1" applyFill="1" applyBorder="1" applyAlignment="1">
      <alignment horizontal="center"/>
    </xf>
    <xf numFmtId="0" fontId="0" fillId="22" borderId="121" xfId="0" applyFill="1" applyBorder="1" applyAlignment="1">
      <alignment horizontal="center"/>
    </xf>
    <xf numFmtId="0" fontId="0" fillId="22" borderId="122" xfId="0" applyFill="1" applyBorder="1" applyAlignment="1">
      <alignment horizontal="center"/>
    </xf>
    <xf numFmtId="175" fontId="0" fillId="22" borderId="121" xfId="0" applyNumberFormat="1" applyFill="1" applyBorder="1" applyAlignment="1">
      <alignment horizontal="center"/>
    </xf>
    <xf numFmtId="0" fontId="0" fillId="22" borderId="118" xfId="0" applyFill="1" applyBorder="1" applyAlignment="1">
      <alignment horizontal="center"/>
    </xf>
    <xf numFmtId="0" fontId="0" fillId="22" borderId="119" xfId="0" applyFill="1" applyBorder="1" applyAlignment="1">
      <alignment horizontal="center"/>
    </xf>
    <xf numFmtId="175" fontId="0" fillId="22" borderId="118" xfId="0" applyNumberFormat="1" applyFill="1" applyBorder="1" applyAlignment="1">
      <alignment horizontal="center"/>
    </xf>
    <xf numFmtId="166" fontId="0" fillId="22" borderId="35" xfId="0" applyNumberFormat="1" applyFill="1" applyBorder="1" applyAlignment="1">
      <alignment horizontal="center"/>
    </xf>
    <xf numFmtId="174" fontId="0" fillId="22" borderId="36" xfId="0" applyNumberFormat="1" applyFill="1" applyBorder="1" applyAlignment="1">
      <alignment horizontal="center"/>
    </xf>
    <xf numFmtId="1" fontId="0" fillId="22" borderId="71" xfId="0" applyNumberFormat="1" applyFill="1" applyBorder="1" applyAlignment="1">
      <alignment horizontal="center"/>
    </xf>
    <xf numFmtId="166" fontId="0" fillId="22" borderId="124" xfId="0" applyNumberFormat="1" applyFill="1" applyBorder="1" applyAlignment="1">
      <alignment horizontal="center"/>
    </xf>
    <xf numFmtId="0" fontId="0" fillId="22" borderId="124" xfId="0" applyFill="1" applyBorder="1" applyAlignment="1">
      <alignment horizontal="center"/>
    </xf>
    <xf numFmtId="1" fontId="0" fillId="22" borderId="70" xfId="0" applyNumberFormat="1" applyFill="1" applyBorder="1" applyAlignment="1">
      <alignment horizontal="center"/>
    </xf>
    <xf numFmtId="166" fontId="0" fillId="22" borderId="112" xfId="0" applyNumberFormat="1" applyFill="1" applyBorder="1" applyAlignment="1">
      <alignment horizontal="center"/>
    </xf>
    <xf numFmtId="0" fontId="0" fillId="22" borderId="112" xfId="0" applyFill="1" applyBorder="1" applyAlignment="1">
      <alignment horizontal="center"/>
    </xf>
    <xf numFmtId="175" fontId="0" fillId="22" borderId="124" xfId="0" applyNumberFormat="1" applyFill="1" applyBorder="1" applyAlignment="1">
      <alignment horizontal="center"/>
    </xf>
    <xf numFmtId="175" fontId="0" fillId="22" borderId="112" xfId="0" applyNumberFormat="1" applyFill="1" applyBorder="1" applyAlignment="1">
      <alignment horizontal="center"/>
    </xf>
    <xf numFmtId="168" fontId="0" fillId="22" borderId="31" xfId="0" applyNumberFormat="1" applyFill="1" applyBorder="1" applyAlignment="1">
      <alignment horizontal="center"/>
    </xf>
    <xf numFmtId="0" fontId="0" fillId="19" borderId="55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172" fontId="0" fillId="7" borderId="4" xfId="0" applyNumberFormat="1" applyFill="1" applyBorder="1" applyAlignment="1">
      <alignment horizontal="center"/>
    </xf>
    <xf numFmtId="172" fontId="0" fillId="7" borderId="75" xfId="0" applyNumberFormat="1" applyFill="1" applyBorder="1" applyAlignment="1">
      <alignment horizontal="center"/>
    </xf>
    <xf numFmtId="172" fontId="0" fillId="7" borderId="5" xfId="0" applyNumberFormat="1" applyFill="1" applyBorder="1" applyAlignment="1">
      <alignment horizontal="center"/>
    </xf>
    <xf numFmtId="171" fontId="7" fillId="13" borderId="134" xfId="1" applyNumberFormat="1" applyFill="1" applyBorder="1" applyAlignment="1">
      <alignment horizontal="center"/>
    </xf>
    <xf numFmtId="171" fontId="7" fillId="13" borderId="143" xfId="1" applyNumberFormat="1" applyFill="1" applyBorder="1" applyAlignment="1">
      <alignment horizontal="center"/>
    </xf>
    <xf numFmtId="174" fontId="0" fillId="7" borderId="2" xfId="0" applyNumberFormat="1" applyFill="1" applyBorder="1" applyAlignment="1">
      <alignment horizontal="center"/>
    </xf>
    <xf numFmtId="171" fontId="0" fillId="7" borderId="110" xfId="0" applyNumberFormat="1" applyFill="1" applyBorder="1" applyAlignment="1">
      <alignment horizontal="center"/>
    </xf>
    <xf numFmtId="174" fontId="0" fillId="7" borderId="110" xfId="0" applyNumberFormat="1" applyFill="1" applyBorder="1" applyAlignment="1">
      <alignment horizontal="center"/>
    </xf>
    <xf numFmtId="174" fontId="0" fillId="7" borderId="42" xfId="0" applyNumberFormat="1" applyFill="1" applyBorder="1" applyAlignment="1">
      <alignment horizontal="center"/>
    </xf>
    <xf numFmtId="173" fontId="0" fillId="7" borderId="45" xfId="0" applyNumberFormat="1" applyFill="1" applyBorder="1" applyAlignment="1">
      <alignment horizontal="center"/>
    </xf>
    <xf numFmtId="171" fontId="0" fillId="7" borderId="68" xfId="0" applyNumberFormat="1" applyFill="1" applyBorder="1" applyAlignment="1">
      <alignment horizontal="center"/>
    </xf>
    <xf numFmtId="171" fontId="0" fillId="7" borderId="46" xfId="0" applyNumberFormat="1" applyFill="1" applyBorder="1" applyAlignment="1">
      <alignment horizontal="center"/>
    </xf>
    <xf numFmtId="175" fontId="0" fillId="7" borderId="121" xfId="0" applyNumberFormat="1" applyFill="1" applyBorder="1" applyAlignment="1">
      <alignment horizontal="center"/>
    </xf>
    <xf numFmtId="175" fontId="0" fillId="7" borderId="118" xfId="0" applyNumberFormat="1" applyFill="1" applyBorder="1" applyAlignment="1">
      <alignment horizontal="center"/>
    </xf>
    <xf numFmtId="1" fontId="0" fillId="2" borderId="41" xfId="0" applyNumberForma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172" fontId="0" fillId="2" borderId="41" xfId="0" applyNumberFormat="1" applyFill="1" applyBorder="1" applyAlignment="1">
      <alignment horizontal="center"/>
    </xf>
    <xf numFmtId="172" fontId="0" fillId="2" borderId="44" xfId="0" applyNumberFormat="1" applyFill="1" applyBorder="1" applyAlignment="1">
      <alignment horizontal="center"/>
    </xf>
    <xf numFmtId="171" fontId="7" fillId="25" borderId="127" xfId="1" applyNumberFormat="1" applyFill="1" applyBorder="1" applyAlignment="1">
      <alignment horizontal="center"/>
    </xf>
    <xf numFmtId="171" fontId="7" fillId="25" borderId="141" xfId="1" applyNumberFormat="1" applyFill="1" applyBorder="1" applyAlignment="1">
      <alignment horizontal="center"/>
    </xf>
    <xf numFmtId="171" fontId="7" fillId="25" borderId="128" xfId="1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171" fontId="7" fillId="25" borderId="133" xfId="1" applyNumberFormat="1" applyFill="1" applyBorder="1" applyAlignment="1">
      <alignment horizontal="center"/>
    </xf>
    <xf numFmtId="171" fontId="7" fillId="25" borderId="142" xfId="1" applyNumberFormat="1" applyFill="1" applyBorder="1" applyAlignment="1">
      <alignment horizontal="center"/>
    </xf>
    <xf numFmtId="171" fontId="7" fillId="25" borderId="130" xfId="1" applyNumberFormat="1" applyFill="1" applyBorder="1" applyAlignment="1">
      <alignment horizontal="center"/>
    </xf>
    <xf numFmtId="171" fontId="7" fillId="25" borderId="129" xfId="1" applyNumberFormat="1" applyFill="1" applyBorder="1" applyAlignment="1">
      <alignment horizontal="center"/>
    </xf>
    <xf numFmtId="1" fontId="0" fillId="2" borderId="45" xfId="0" applyNumberFormat="1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1" fontId="0" fillId="2" borderId="48" xfId="0" applyNumberFormat="1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172" fontId="0" fillId="2" borderId="4" xfId="0" applyNumberFormat="1" applyFill="1" applyBorder="1" applyAlignment="1">
      <alignment horizontal="center"/>
    </xf>
    <xf numFmtId="172" fontId="0" fillId="2" borderId="75" xfId="0" applyNumberFormat="1" applyFill="1" applyBorder="1" applyAlignment="1">
      <alignment horizontal="center"/>
    </xf>
    <xf numFmtId="172" fontId="0" fillId="2" borderId="5" xfId="0" applyNumberFormat="1" applyFill="1" applyBorder="1" applyAlignment="1">
      <alignment horizontal="center"/>
    </xf>
    <xf numFmtId="171" fontId="7" fillId="25" borderId="131" xfId="1" applyNumberFormat="1" applyFill="1" applyBorder="1" applyAlignment="1">
      <alignment horizontal="center"/>
    </xf>
    <xf numFmtId="171" fontId="7" fillId="25" borderId="143" xfId="1" applyNumberFormat="1" applyFill="1" applyBorder="1" applyAlignment="1">
      <alignment horizontal="center"/>
    </xf>
    <xf numFmtId="171" fontId="7" fillId="25" borderId="134" xfId="1" applyNumberFormat="1" applyFill="1" applyBorder="1" applyAlignment="1">
      <alignment horizontal="center"/>
    </xf>
    <xf numFmtId="175" fontId="0" fillId="2" borderId="4" xfId="0" applyNumberFormat="1" applyFill="1" applyBorder="1" applyAlignment="1">
      <alignment horizontal="center"/>
    </xf>
    <xf numFmtId="175" fontId="0" fillId="2" borderId="75" xfId="0" applyNumberFormat="1" applyFill="1" applyBorder="1" applyAlignment="1">
      <alignment horizontal="center"/>
    </xf>
    <xf numFmtId="175" fontId="0" fillId="2" borderId="5" xfId="0" applyNumberFormat="1" applyFill="1" applyBorder="1" applyAlignment="1">
      <alignment horizontal="center"/>
    </xf>
    <xf numFmtId="2" fontId="0" fillId="2" borderId="63" xfId="0" applyNumberFormat="1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81" xfId="0" applyFill="1" applyBorder="1" applyAlignment="1">
      <alignment horizontal="center"/>
    </xf>
    <xf numFmtId="2" fontId="0" fillId="2" borderId="103" xfId="0" applyNumberFormat="1" applyFill="1" applyBorder="1" applyAlignment="1">
      <alignment horizontal="center"/>
    </xf>
    <xf numFmtId="2" fontId="0" fillId="2" borderId="65" xfId="0" applyNumberFormat="1" applyFill="1" applyBorder="1" applyAlignment="1">
      <alignment horizontal="center"/>
    </xf>
    <xf numFmtId="179" fontId="7" fillId="26" borderId="63" xfId="1" applyNumberFormat="1" applyFill="1" applyBorder="1" applyAlignment="1">
      <alignment horizontal="center"/>
    </xf>
    <xf numFmtId="179" fontId="7" fillId="26" borderId="103" xfId="1" applyNumberFormat="1" applyFill="1" applyBorder="1" applyAlignment="1">
      <alignment horizontal="center"/>
    </xf>
    <xf numFmtId="179" fontId="7" fillId="26" borderId="65" xfId="1" applyNumberFormat="1" applyFill="1" applyBorder="1" applyAlignment="1">
      <alignment horizontal="center"/>
    </xf>
    <xf numFmtId="175" fontId="0" fillId="2" borderId="81" xfId="0" applyNumberFormat="1" applyFill="1" applyBorder="1" applyAlignment="1">
      <alignment horizontal="center"/>
    </xf>
    <xf numFmtId="175" fontId="0" fillId="2" borderId="103" xfId="0" applyNumberFormat="1" applyFill="1" applyBorder="1" applyAlignment="1">
      <alignment horizontal="center"/>
    </xf>
    <xf numFmtId="175" fontId="0" fillId="2" borderId="65" xfId="0" applyNumberForma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177" fontId="7" fillId="2" borderId="42" xfId="1" applyFill="1" applyBorder="1" applyAlignment="1">
      <alignment horizontal="center"/>
    </xf>
    <xf numFmtId="177" fontId="7" fillId="2" borderId="69" xfId="1" applyFill="1" applyBorder="1" applyAlignment="1">
      <alignment horizontal="center"/>
    </xf>
    <xf numFmtId="175" fontId="0" fillId="2" borderId="120" xfId="0" applyNumberForma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177" fontId="7" fillId="2" borderId="33" xfId="1" applyFill="1" applyBorder="1" applyAlignment="1">
      <alignment horizontal="center"/>
    </xf>
    <xf numFmtId="177" fontId="7" fillId="2" borderId="67" xfId="1" applyFill="1" applyBorder="1" applyAlignment="1">
      <alignment horizontal="center"/>
    </xf>
    <xf numFmtId="175" fontId="0" fillId="2" borderId="109" xfId="0" applyNumberFormat="1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177" fontId="7" fillId="2" borderId="40" xfId="1" applyFill="1" applyBorder="1" applyAlignment="1">
      <alignment horizontal="center"/>
    </xf>
    <xf numFmtId="177" fontId="7" fillId="2" borderId="68" xfId="1" applyFill="1" applyBorder="1" applyAlignment="1">
      <alignment horizontal="center"/>
    </xf>
    <xf numFmtId="175" fontId="0" fillId="2" borderId="45" xfId="0" applyNumberFormat="1" applyFill="1" applyBorder="1" applyAlignment="1">
      <alignment horizontal="center"/>
    </xf>
    <xf numFmtId="175" fontId="0" fillId="2" borderId="117" xfId="0" applyNumberFormat="1" applyFill="1" applyBorder="1" applyAlignment="1">
      <alignment horizontal="center"/>
    </xf>
    <xf numFmtId="175" fontId="0" fillId="2" borderId="68" xfId="0" applyNumberFormat="1" applyFill="1" applyBorder="1" applyAlignment="1">
      <alignment horizontal="center"/>
    </xf>
    <xf numFmtId="175" fontId="0" fillId="2" borderId="46" xfId="0" applyNumberForma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71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177" fontId="7" fillId="2" borderId="29" xfId="1" applyFill="1" applyBorder="1" applyAlignment="1">
      <alignment horizontal="center"/>
    </xf>
    <xf numFmtId="177" fontId="7" fillId="2" borderId="71" xfId="1" applyFill="1" applyBorder="1" applyAlignment="1">
      <alignment horizontal="center"/>
    </xf>
    <xf numFmtId="178" fontId="7" fillId="2" borderId="71" xfId="1" applyNumberFormat="1" applyFill="1" applyBorder="1" applyAlignment="1">
      <alignment horizontal="center"/>
    </xf>
    <xf numFmtId="178" fontId="7" fillId="2" borderId="67" xfId="1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77" fontId="7" fillId="2" borderId="164" xfId="1" applyFill="1" applyBorder="1" applyAlignment="1">
      <alignment horizontal="center"/>
    </xf>
    <xf numFmtId="177" fontId="7" fillId="2" borderId="72" xfId="1" applyFill="1" applyBorder="1" applyAlignment="1">
      <alignment horizontal="center"/>
    </xf>
    <xf numFmtId="178" fontId="7" fillId="2" borderId="72" xfId="1" applyNumberFormat="1" applyFill="1" applyBorder="1" applyAlignment="1">
      <alignment horizontal="center"/>
    </xf>
    <xf numFmtId="177" fontId="7" fillId="2" borderId="7" xfId="1" applyFill="1" applyBorder="1" applyAlignment="1">
      <alignment horizontal="center"/>
    </xf>
    <xf numFmtId="178" fontId="7" fillId="2" borderId="162" xfId="1" applyNumberFormat="1" applyFill="1" applyBorder="1" applyAlignment="1">
      <alignment horizontal="center"/>
    </xf>
    <xf numFmtId="178" fontId="7" fillId="2" borderId="33" xfId="1" applyNumberFormat="1" applyFill="1" applyBorder="1" applyAlignment="1">
      <alignment horizontal="center"/>
    </xf>
    <xf numFmtId="177" fontId="7" fillId="2" borderId="162" xfId="1" applyFill="1" applyBorder="1" applyAlignment="1">
      <alignment horizontal="center"/>
    </xf>
    <xf numFmtId="1" fontId="0" fillId="2" borderId="46" xfId="0" applyNumberFormat="1" applyFill="1" applyBorder="1" applyAlignment="1">
      <alignment horizontal="center"/>
    </xf>
    <xf numFmtId="178" fontId="7" fillId="2" borderId="166" xfId="1" applyNumberFormat="1" applyFill="1" applyBorder="1" applyAlignment="1">
      <alignment horizontal="center"/>
    </xf>
    <xf numFmtId="178" fontId="7" fillId="2" borderId="68" xfId="1" applyNumberFormat="1" applyFill="1" applyBorder="1" applyAlignment="1">
      <alignment horizontal="center"/>
    </xf>
    <xf numFmtId="0" fontId="0" fillId="2" borderId="75" xfId="0" applyFill="1" applyBorder="1" applyAlignment="1">
      <alignment horizontal="center"/>
    </xf>
    <xf numFmtId="0" fontId="0" fillId="2" borderId="70" xfId="0" applyFill="1" applyBorder="1" applyAlignment="1">
      <alignment horizontal="center"/>
    </xf>
    <xf numFmtId="175" fontId="0" fillId="2" borderId="70" xfId="0" applyNumberFormat="1" applyFill="1" applyBorder="1" applyAlignment="1">
      <alignment horizontal="center"/>
    </xf>
    <xf numFmtId="11" fontId="0" fillId="2" borderId="41" xfId="0" applyNumberFormat="1" applyFill="1" applyBorder="1" applyAlignment="1">
      <alignment horizontal="center"/>
    </xf>
    <xf numFmtId="11" fontId="0" fillId="2" borderId="69" xfId="0" applyNumberFormat="1" applyFill="1" applyBorder="1" applyAlignment="1">
      <alignment horizontal="center"/>
    </xf>
    <xf numFmtId="11" fontId="0" fillId="2" borderId="44" xfId="0" applyNumberFormat="1" applyFill="1" applyBorder="1" applyAlignment="1">
      <alignment horizontal="center"/>
    </xf>
    <xf numFmtId="175" fontId="0" fillId="2" borderId="42" xfId="0" applyNumberFormat="1" applyFill="1" applyBorder="1" applyAlignment="1">
      <alignment horizontal="center"/>
    </xf>
    <xf numFmtId="11" fontId="0" fillId="2" borderId="32" xfId="0" applyNumberFormat="1" applyFill="1" applyBorder="1" applyAlignment="1">
      <alignment horizontal="center"/>
    </xf>
    <xf numFmtId="11" fontId="0" fillId="2" borderId="67" xfId="0" applyNumberFormat="1" applyFill="1" applyBorder="1" applyAlignment="1">
      <alignment horizontal="center"/>
    </xf>
    <xf numFmtId="175" fontId="0" fillId="2" borderId="33" xfId="0" applyNumberFormat="1" applyFill="1" applyBorder="1" applyAlignment="1">
      <alignment horizontal="center"/>
    </xf>
    <xf numFmtId="11" fontId="0" fillId="2" borderId="35" xfId="0" applyNumberForma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11" fontId="0" fillId="2" borderId="72" xfId="0" applyNumberFormat="1" applyFill="1" applyBorder="1" applyAlignment="1">
      <alignment horizontal="center"/>
    </xf>
    <xf numFmtId="175" fontId="0" fillId="2" borderId="7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71" fontId="0" fillId="2" borderId="2" xfId="0" applyNumberFormat="1" applyFill="1" applyBorder="1" applyAlignment="1">
      <alignment horizontal="center"/>
    </xf>
    <xf numFmtId="180" fontId="0" fillId="2" borderId="1" xfId="0" applyNumberFormat="1" applyFill="1" applyBorder="1" applyAlignment="1">
      <alignment horizontal="center"/>
    </xf>
    <xf numFmtId="180" fontId="0" fillId="2" borderId="73" xfId="0" applyNumberFormat="1" applyFill="1" applyBorder="1" applyAlignment="1">
      <alignment horizontal="center"/>
    </xf>
    <xf numFmtId="180" fontId="0" fillId="2" borderId="3" xfId="0" applyNumberFormat="1" applyFill="1" applyBorder="1" applyAlignment="1">
      <alignment horizontal="center"/>
    </xf>
    <xf numFmtId="171" fontId="0" fillId="2" borderId="110" xfId="0" applyNumberFormat="1" applyFill="1" applyBorder="1" applyAlignment="1">
      <alignment horizontal="center"/>
    </xf>
    <xf numFmtId="180" fontId="0" fillId="2" borderId="32" xfId="0" applyNumberFormat="1" applyFill="1" applyBorder="1" applyAlignment="1">
      <alignment horizontal="center"/>
    </xf>
    <xf numFmtId="180" fontId="0" fillId="2" borderId="35" xfId="0" applyNumberFormat="1" applyFill="1" applyBorder="1" applyAlignment="1">
      <alignment horizontal="center"/>
    </xf>
    <xf numFmtId="174" fontId="0" fillId="2" borderId="110" xfId="0" applyNumberFormat="1" applyFill="1" applyBorder="1" applyAlignment="1">
      <alignment horizontal="center"/>
    </xf>
    <xf numFmtId="180" fontId="0" fillId="2" borderId="6" xfId="0" applyNumberFormat="1" applyFill="1" applyBorder="1" applyAlignment="1">
      <alignment horizontal="center"/>
    </xf>
    <xf numFmtId="180" fontId="0" fillId="2" borderId="8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36" xfId="0" applyNumberForma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1" fontId="0" fillId="2" borderId="0" xfId="0" applyNumberFormat="1" applyFill="1" applyBorder="1" applyAlignment="1">
      <alignment horizontal="center"/>
    </xf>
    <xf numFmtId="11" fontId="0" fillId="2" borderId="75" xfId="0" applyNumberForma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1" fontId="0" fillId="2" borderId="37" xfId="0" applyNumberFormat="1" applyFill="1" applyBorder="1" applyAlignment="1">
      <alignment horizontal="center"/>
    </xf>
    <xf numFmtId="11" fontId="0" fillId="2" borderId="70" xfId="0" applyNumberFormat="1" applyFill="1" applyBorder="1" applyAlignment="1">
      <alignment horizontal="center"/>
    </xf>
    <xf numFmtId="175" fontId="0" fillId="2" borderId="36" xfId="0" applyNumberFormat="1" applyFill="1" applyBorder="1" applyAlignment="1">
      <alignment horizontal="center"/>
    </xf>
    <xf numFmtId="175" fontId="0" fillId="2" borderId="39" xfId="0" applyNumberFormat="1" applyFill="1" applyBorder="1" applyAlignment="1">
      <alignment horizontal="center"/>
    </xf>
    <xf numFmtId="0" fontId="0" fillId="2" borderId="124" xfId="0" applyFill="1" applyBorder="1" applyAlignment="1">
      <alignment horizontal="center"/>
    </xf>
    <xf numFmtId="0" fontId="0" fillId="2" borderId="125" xfId="0" applyFill="1" applyBorder="1" applyAlignment="1">
      <alignment horizontal="center"/>
    </xf>
    <xf numFmtId="175" fontId="0" fillId="2" borderId="124" xfId="0" applyNumberFormat="1" applyFill="1" applyBorder="1" applyAlignment="1">
      <alignment horizontal="center"/>
    </xf>
    <xf numFmtId="0" fontId="0" fillId="2" borderId="110" xfId="0" applyFill="1" applyBorder="1" applyAlignment="1">
      <alignment horizontal="center"/>
    </xf>
    <xf numFmtId="0" fontId="0" fillId="2" borderId="101" xfId="0" applyFill="1" applyBorder="1" applyAlignment="1">
      <alignment horizontal="center"/>
    </xf>
    <xf numFmtId="175" fontId="0" fillId="2" borderId="110" xfId="0" applyNumberFormat="1" applyFill="1" applyBorder="1" applyAlignment="1">
      <alignment horizontal="center"/>
    </xf>
    <xf numFmtId="0" fontId="0" fillId="2" borderId="112" xfId="0" applyFill="1" applyBorder="1" applyAlignment="1">
      <alignment horizontal="center"/>
    </xf>
    <xf numFmtId="0" fontId="0" fillId="2" borderId="116" xfId="0" applyFill="1" applyBorder="1" applyAlignment="1">
      <alignment horizontal="center"/>
    </xf>
    <xf numFmtId="175" fontId="0" fillId="2" borderId="112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73" fontId="0" fillId="2" borderId="4" xfId="0" applyNumberFormat="1" applyFill="1" applyBorder="1" applyAlignment="1">
      <alignment horizontal="center"/>
    </xf>
    <xf numFmtId="171" fontId="0" fillId="2" borderId="75" xfId="0" applyNumberFormat="1" applyFill="1" applyBorder="1" applyAlignment="1">
      <alignment horizontal="center"/>
    </xf>
    <xf numFmtId="171" fontId="0" fillId="2" borderId="5" xfId="0" applyNumberFormat="1" applyFill="1" applyBorder="1" applyAlignment="1">
      <alignment horizontal="center"/>
    </xf>
    <xf numFmtId="173" fontId="0" fillId="2" borderId="36" xfId="0" applyNumberFormat="1" applyFill="1" applyBorder="1" applyAlignment="1">
      <alignment horizontal="center"/>
    </xf>
    <xf numFmtId="171" fontId="0" fillId="2" borderId="70" xfId="0" applyNumberFormat="1" applyFill="1" applyBorder="1" applyAlignment="1">
      <alignment horizontal="center"/>
    </xf>
    <xf numFmtId="171" fontId="0" fillId="2" borderId="39" xfId="0" applyNumberFormat="1" applyFill="1" applyBorder="1" applyAlignment="1">
      <alignment horizontal="center"/>
    </xf>
    <xf numFmtId="0" fontId="0" fillId="2" borderId="120" xfId="0" applyFill="1" applyBorder="1" applyAlignment="1">
      <alignment horizontal="center"/>
    </xf>
    <xf numFmtId="0" fontId="0" fillId="2" borderId="121" xfId="0" applyFill="1" applyBorder="1" applyAlignment="1">
      <alignment horizontal="center"/>
    </xf>
    <xf numFmtId="175" fontId="0" fillId="2" borderId="121" xfId="0" applyNumberFormat="1" applyFill="1" applyBorder="1" applyAlignment="1">
      <alignment horizontal="center"/>
    </xf>
    <xf numFmtId="0" fontId="0" fillId="2" borderId="109" xfId="0" applyFill="1" applyBorder="1" applyAlignment="1">
      <alignment horizontal="center"/>
    </xf>
    <xf numFmtId="0" fontId="0" fillId="2" borderId="108" xfId="0" applyFill="1" applyBorder="1" applyAlignment="1">
      <alignment horizontal="center"/>
    </xf>
    <xf numFmtId="0" fontId="0" fillId="2" borderId="107" xfId="0" applyFill="1" applyBorder="1" applyAlignment="1">
      <alignment horizontal="center"/>
    </xf>
    <xf numFmtId="175" fontId="0" fillId="2" borderId="107" xfId="0" applyNumberFormat="1" applyFill="1" applyBorder="1" applyAlignment="1">
      <alignment horizontal="center"/>
    </xf>
    <xf numFmtId="175" fontId="0" fillId="2" borderId="138" xfId="0" applyNumberFormat="1" applyFill="1" applyBorder="1" applyAlignment="1">
      <alignment horizontal="center"/>
    </xf>
    <xf numFmtId="175" fontId="0" fillId="2" borderId="126" xfId="0" applyNumberFormat="1" applyFill="1" applyBorder="1" applyAlignment="1">
      <alignment horizontal="center"/>
    </xf>
    <xf numFmtId="1" fontId="0" fillId="27" borderId="28" xfId="0" applyNumberFormat="1" applyFill="1" applyBorder="1" applyAlignment="1">
      <alignment horizontal="center"/>
    </xf>
    <xf numFmtId="0" fontId="0" fillId="27" borderId="54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1" fontId="0" fillId="27" borderId="30" xfId="0" applyNumberFormat="1" applyFill="1" applyBorder="1" applyAlignment="1">
      <alignment horizontal="center"/>
    </xf>
    <xf numFmtId="172" fontId="0" fillId="27" borderId="28" xfId="0" applyNumberFormat="1" applyFill="1" applyBorder="1" applyAlignment="1">
      <alignment horizontal="center"/>
    </xf>
    <xf numFmtId="172" fontId="0" fillId="27" borderId="71" xfId="0" applyNumberFormat="1" applyFill="1" applyBorder="1" applyAlignment="1">
      <alignment horizontal="center"/>
    </xf>
    <xf numFmtId="172" fontId="0" fillId="27" borderId="31" xfId="0" applyNumberFormat="1" applyFill="1" applyBorder="1" applyAlignment="1">
      <alignment horizontal="center"/>
    </xf>
    <xf numFmtId="171" fontId="7" fillId="28" borderId="144" xfId="1" applyNumberFormat="1" applyFill="1" applyBorder="1" applyAlignment="1">
      <alignment horizontal="center"/>
    </xf>
    <xf numFmtId="171" fontId="7" fillId="28" borderId="145" xfId="1" applyNumberFormat="1" applyFill="1" applyBorder="1" applyAlignment="1">
      <alignment horizontal="center"/>
    </xf>
    <xf numFmtId="175" fontId="0" fillId="27" borderId="28" xfId="0" applyNumberFormat="1" applyFill="1" applyBorder="1" applyAlignment="1">
      <alignment horizontal="center"/>
    </xf>
    <xf numFmtId="175" fontId="0" fillId="27" borderId="71" xfId="0" applyNumberFormat="1" applyFill="1" applyBorder="1" applyAlignment="1">
      <alignment horizontal="center"/>
    </xf>
    <xf numFmtId="175" fontId="0" fillId="27" borderId="31" xfId="0" applyNumberFormat="1" applyFill="1" applyBorder="1" applyAlignment="1">
      <alignment horizontal="center"/>
    </xf>
    <xf numFmtId="1" fontId="0" fillId="27" borderId="32" xfId="0" applyNumberFormat="1" applyFill="1" applyBorder="1" applyAlignment="1">
      <alignment horizontal="center"/>
    </xf>
    <xf numFmtId="0" fontId="0" fillId="27" borderId="55" xfId="0" applyFill="1" applyBorder="1" applyAlignment="1">
      <alignment horizontal="center"/>
    </xf>
    <xf numFmtId="0" fontId="0" fillId="27" borderId="33" xfId="0" applyFill="1" applyBorder="1" applyAlignment="1">
      <alignment horizontal="center"/>
    </xf>
    <xf numFmtId="1" fontId="0" fillId="27" borderId="34" xfId="0" applyNumberFormat="1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171" fontId="0" fillId="27" borderId="41" xfId="0" applyNumberFormat="1" applyFill="1" applyBorder="1" applyAlignment="1">
      <alignment horizontal="center"/>
    </xf>
    <xf numFmtId="168" fontId="0" fillId="27" borderId="69" xfId="0" applyNumberFormat="1" applyFill="1" applyBorder="1" applyAlignment="1">
      <alignment horizontal="center"/>
    </xf>
    <xf numFmtId="172" fontId="0" fillId="27" borderId="69" xfId="0" applyNumberFormat="1" applyFill="1" applyBorder="1" applyAlignment="1">
      <alignment horizontal="center"/>
    </xf>
    <xf numFmtId="172" fontId="0" fillId="27" borderId="44" xfId="0" applyNumberFormat="1" applyFill="1" applyBorder="1" applyAlignment="1">
      <alignment horizontal="center"/>
    </xf>
    <xf numFmtId="168" fontId="7" fillId="28" borderId="133" xfId="1" applyNumberFormat="1" applyFill="1" applyBorder="1" applyAlignment="1">
      <alignment horizontal="center"/>
    </xf>
    <xf numFmtId="168" fontId="7" fillId="28" borderId="142" xfId="1" applyNumberFormat="1" applyFill="1" applyBorder="1" applyAlignment="1">
      <alignment horizontal="center"/>
    </xf>
    <xf numFmtId="175" fontId="0" fillId="27" borderId="41" xfId="0" applyNumberFormat="1" applyFill="1" applyBorder="1" applyAlignment="1">
      <alignment horizontal="center"/>
    </xf>
    <xf numFmtId="175" fontId="0" fillId="27" borderId="69" xfId="0" applyNumberFormat="1" applyFill="1" applyBorder="1" applyAlignment="1">
      <alignment horizontal="center"/>
    </xf>
    <xf numFmtId="175" fontId="0" fillId="27" borderId="44" xfId="0" applyNumberFormat="1" applyFill="1" applyBorder="1" applyAlignment="1">
      <alignment horizontal="center"/>
    </xf>
    <xf numFmtId="164" fontId="0" fillId="27" borderId="32" xfId="0" applyNumberFormat="1" applyFill="1" applyBorder="1" applyAlignment="1">
      <alignment horizontal="center"/>
    </xf>
    <xf numFmtId="172" fontId="0" fillId="27" borderId="41" xfId="0" applyNumberFormat="1" applyFill="1" applyBorder="1" applyAlignment="1">
      <alignment horizontal="center"/>
    </xf>
    <xf numFmtId="1" fontId="0" fillId="27" borderId="36" xfId="0" applyNumberFormat="1" applyFill="1" applyBorder="1" applyAlignment="1">
      <alignment horizontal="center"/>
    </xf>
    <xf numFmtId="0" fontId="0" fillId="27" borderId="57" xfId="0" applyFill="1" applyBorder="1" applyAlignment="1">
      <alignment horizontal="center"/>
    </xf>
    <xf numFmtId="0" fontId="0" fillId="27" borderId="50" xfId="0" applyFill="1" applyBorder="1" applyAlignment="1">
      <alignment horizontal="center"/>
    </xf>
    <xf numFmtId="1" fontId="0" fillId="27" borderId="38" xfId="0" applyNumberFormat="1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172" fontId="0" fillId="27" borderId="6" xfId="0" applyNumberFormat="1" applyFill="1" applyBorder="1" applyAlignment="1">
      <alignment horizontal="center"/>
    </xf>
    <xf numFmtId="172" fontId="0" fillId="27" borderId="72" xfId="0" applyNumberFormat="1" applyFill="1" applyBorder="1" applyAlignment="1">
      <alignment horizontal="center"/>
    </xf>
    <xf numFmtId="172" fontId="0" fillId="27" borderId="8" xfId="0" applyNumberFormat="1" applyFill="1" applyBorder="1" applyAlignment="1">
      <alignment horizontal="center"/>
    </xf>
    <xf numFmtId="171" fontId="7" fillId="28" borderId="146" xfId="1" applyNumberFormat="1" applyFill="1" applyBorder="1" applyAlignment="1">
      <alignment horizontal="center"/>
    </xf>
    <xf numFmtId="171" fontId="7" fillId="28" borderId="147" xfId="1" applyNumberFormat="1" applyFill="1" applyBorder="1" applyAlignment="1">
      <alignment horizontal="center"/>
    </xf>
    <xf numFmtId="175" fontId="0" fillId="27" borderId="6" xfId="0" applyNumberFormat="1" applyFill="1" applyBorder="1" applyAlignment="1">
      <alignment horizontal="center"/>
    </xf>
    <xf numFmtId="175" fontId="0" fillId="27" borderId="72" xfId="0" applyNumberFormat="1" applyFill="1" applyBorder="1" applyAlignment="1">
      <alignment horizontal="center"/>
    </xf>
    <xf numFmtId="175" fontId="0" fillId="27" borderId="8" xfId="0" applyNumberFormat="1" applyFill="1" applyBorder="1" applyAlignment="1">
      <alignment horizontal="center"/>
    </xf>
    <xf numFmtId="2" fontId="0" fillId="27" borderId="63" xfId="0" applyNumberFormat="1" applyFill="1" applyBorder="1" applyAlignment="1">
      <alignment horizontal="center"/>
    </xf>
    <xf numFmtId="0" fontId="0" fillId="27" borderId="64" xfId="0" applyFill="1" applyBorder="1" applyAlignment="1">
      <alignment horizontal="center"/>
    </xf>
    <xf numFmtId="0" fontId="0" fillId="27" borderId="81" xfId="0" applyFill="1" applyBorder="1" applyAlignment="1">
      <alignment horizontal="center"/>
    </xf>
    <xf numFmtId="171" fontId="0" fillId="27" borderId="63" xfId="0" applyNumberFormat="1" applyFill="1" applyBorder="1" applyAlignment="1">
      <alignment horizontal="center"/>
    </xf>
    <xf numFmtId="2" fontId="0" fillId="27" borderId="103" xfId="0" applyNumberFormat="1" applyFill="1" applyBorder="1" applyAlignment="1">
      <alignment horizontal="center"/>
    </xf>
    <xf numFmtId="171" fontId="0" fillId="27" borderId="103" xfId="0" applyNumberFormat="1" applyFill="1" applyBorder="1" applyAlignment="1">
      <alignment horizontal="center"/>
    </xf>
    <xf numFmtId="169" fontId="0" fillId="27" borderId="65" xfId="0" applyNumberFormat="1" applyFill="1" applyBorder="1" applyAlignment="1">
      <alignment horizontal="center"/>
    </xf>
    <xf numFmtId="175" fontId="0" fillId="27" borderId="81" xfId="0" applyNumberFormat="1" applyFill="1" applyBorder="1" applyAlignment="1">
      <alignment horizontal="center"/>
    </xf>
    <xf numFmtId="175" fontId="0" fillId="27" borderId="103" xfId="0" applyNumberFormat="1" applyFill="1" applyBorder="1" applyAlignment="1">
      <alignment horizontal="center"/>
    </xf>
    <xf numFmtId="175" fontId="0" fillId="27" borderId="65" xfId="0" applyNumberFormat="1" applyFill="1" applyBorder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71" xfId="0" applyFill="1" applyBorder="1" applyAlignment="1">
      <alignment horizontal="center"/>
    </xf>
    <xf numFmtId="0" fontId="0" fillId="27" borderId="31" xfId="0" applyFill="1" applyBorder="1" applyAlignment="1">
      <alignment horizontal="center"/>
    </xf>
    <xf numFmtId="177" fontId="7" fillId="27" borderId="29" xfId="1" applyFill="1" applyBorder="1" applyAlignment="1">
      <alignment horizontal="center"/>
    </xf>
    <xf numFmtId="177" fontId="7" fillId="27" borderId="71" xfId="1" applyFill="1" applyBorder="1" applyAlignment="1">
      <alignment horizontal="center"/>
    </xf>
    <xf numFmtId="175" fontId="0" fillId="27" borderId="123" xfId="0" applyNumberFormat="1" applyFill="1" applyBorder="1" applyAlignment="1">
      <alignment horizontal="center"/>
    </xf>
    <xf numFmtId="0" fontId="0" fillId="27" borderId="32" xfId="0" applyFill="1" applyBorder="1" applyAlignment="1">
      <alignment horizontal="center"/>
    </xf>
    <xf numFmtId="0" fontId="0" fillId="27" borderId="67" xfId="0" applyFill="1" applyBorder="1" applyAlignment="1">
      <alignment horizontal="center"/>
    </xf>
    <xf numFmtId="177" fontId="7" fillId="27" borderId="33" xfId="1" applyFill="1" applyBorder="1" applyAlignment="1">
      <alignment horizontal="center"/>
    </xf>
    <xf numFmtId="177" fontId="7" fillId="27" borderId="67" xfId="1" applyFill="1" applyBorder="1" applyAlignment="1">
      <alignment horizontal="center"/>
    </xf>
    <xf numFmtId="175" fontId="0" fillId="27" borderId="32" xfId="0" applyNumberFormat="1" applyFill="1" applyBorder="1" applyAlignment="1">
      <alignment horizontal="center"/>
    </xf>
    <xf numFmtId="175" fontId="0" fillId="27" borderId="109" xfId="0" applyNumberFormat="1" applyFill="1" applyBorder="1" applyAlignment="1">
      <alignment horizontal="center"/>
    </xf>
    <xf numFmtId="175" fontId="0" fillId="27" borderId="67" xfId="0" applyNumberFormat="1" applyFill="1" applyBorder="1" applyAlignment="1">
      <alignment horizontal="center"/>
    </xf>
    <xf numFmtId="175" fontId="0" fillId="27" borderId="35" xfId="0" applyNumberFormat="1" applyFill="1" applyBorder="1" applyAlignment="1">
      <alignment horizontal="center"/>
    </xf>
    <xf numFmtId="178" fontId="7" fillId="27" borderId="33" xfId="1" applyNumberFormat="1" applyFill="1" applyBorder="1" applyAlignment="1">
      <alignment horizontal="center"/>
    </xf>
    <xf numFmtId="178" fontId="7" fillId="27" borderId="67" xfId="1" applyNumberFormat="1" applyFill="1" applyBorder="1" applyAlignment="1">
      <alignment horizontal="center"/>
    </xf>
    <xf numFmtId="0" fontId="0" fillId="27" borderId="6" xfId="0" applyFill="1" applyBorder="1" applyAlignment="1">
      <alignment horizontal="center"/>
    </xf>
    <xf numFmtId="0" fontId="0" fillId="27" borderId="62" xfId="0" applyFill="1" applyBorder="1" applyAlignment="1">
      <alignment horizontal="center"/>
    </xf>
    <xf numFmtId="0" fontId="0" fillId="27" borderId="7" xfId="0" applyFill="1" applyBorder="1" applyAlignment="1">
      <alignment horizontal="center"/>
    </xf>
    <xf numFmtId="0" fontId="0" fillId="27" borderId="72" xfId="0" applyFill="1" applyBorder="1" applyAlignment="1">
      <alignment horizontal="center"/>
    </xf>
    <xf numFmtId="0" fontId="0" fillId="27" borderId="8" xfId="0" applyFill="1" applyBorder="1" applyAlignment="1">
      <alignment horizontal="center"/>
    </xf>
    <xf numFmtId="177" fontId="7" fillId="27" borderId="7" xfId="1" applyFill="1" applyBorder="1" applyAlignment="1">
      <alignment horizontal="center"/>
    </xf>
    <xf numFmtId="177" fontId="7" fillId="27" borderId="72" xfId="1" applyFill="1" applyBorder="1" applyAlignment="1">
      <alignment horizontal="center"/>
    </xf>
    <xf numFmtId="178" fontId="7" fillId="27" borderId="7" xfId="1" applyNumberFormat="1" applyFill="1" applyBorder="1" applyAlignment="1">
      <alignment horizontal="center"/>
    </xf>
    <xf numFmtId="175" fontId="0" fillId="27" borderId="108" xfId="0" applyNumberFormat="1" applyFill="1" applyBorder="1" applyAlignment="1">
      <alignment horizontal="center"/>
    </xf>
    <xf numFmtId="168" fontId="0" fillId="27" borderId="3" xfId="0" applyNumberFormat="1" applyFill="1" applyBorder="1" applyAlignment="1">
      <alignment horizontal="center"/>
    </xf>
    <xf numFmtId="177" fontId="7" fillId="27" borderId="170" xfId="1" applyFill="1" applyBorder="1" applyAlignment="1">
      <alignment horizontal="center"/>
    </xf>
    <xf numFmtId="168" fontId="0" fillId="27" borderId="90" xfId="0" applyNumberFormat="1" applyFill="1" applyBorder="1" applyAlignment="1">
      <alignment horizontal="center"/>
    </xf>
    <xf numFmtId="177" fontId="7" fillId="27" borderId="162" xfId="1" applyFill="1" applyBorder="1" applyAlignment="1">
      <alignment horizontal="center"/>
    </xf>
    <xf numFmtId="1" fontId="0" fillId="27" borderId="6" xfId="0" applyNumberFormat="1" applyFill="1" applyBorder="1" applyAlignment="1">
      <alignment horizontal="center"/>
    </xf>
    <xf numFmtId="168" fontId="0" fillId="27" borderId="66" xfId="0" applyNumberFormat="1" applyFill="1" applyBorder="1" applyAlignment="1">
      <alignment horizontal="center"/>
    </xf>
    <xf numFmtId="177" fontId="7" fillId="27" borderId="164" xfId="1" applyFill="1" applyBorder="1" applyAlignment="1">
      <alignment horizontal="center"/>
    </xf>
    <xf numFmtId="0" fontId="0" fillId="27" borderId="36" xfId="0" applyFill="1" applyBorder="1" applyAlignment="1">
      <alignment horizontal="center"/>
    </xf>
    <xf numFmtId="0" fontId="0" fillId="27" borderId="37" xfId="0" applyFill="1" applyBorder="1" applyAlignment="1">
      <alignment horizontal="center"/>
    </xf>
    <xf numFmtId="0" fontId="0" fillId="27" borderId="70" xfId="0" applyFill="1" applyBorder="1" applyAlignment="1">
      <alignment horizontal="center"/>
    </xf>
    <xf numFmtId="175" fontId="0" fillId="27" borderId="70" xfId="0" applyNumberFormat="1" applyFill="1" applyBorder="1" applyAlignment="1">
      <alignment horizontal="center"/>
    </xf>
    <xf numFmtId="0" fontId="0" fillId="27" borderId="4" xfId="0" applyFill="1" applyBorder="1" applyAlignment="1">
      <alignment horizontal="center"/>
    </xf>
    <xf numFmtId="0" fontId="0" fillId="27" borderId="59" xfId="0" applyFill="1" applyBorder="1" applyAlignment="1">
      <alignment horizontal="center"/>
    </xf>
    <xf numFmtId="0" fontId="0" fillId="27" borderId="0" xfId="0" applyFill="1" applyBorder="1" applyAlignment="1">
      <alignment horizontal="center"/>
    </xf>
    <xf numFmtId="0" fontId="0" fillId="27" borderId="5" xfId="0" applyFill="1" applyBorder="1" applyAlignment="1">
      <alignment horizontal="center"/>
    </xf>
    <xf numFmtId="180" fontId="0" fillId="27" borderId="42" xfId="0" applyNumberFormat="1" applyFill="1" applyBorder="1" applyAlignment="1">
      <alignment horizontal="center"/>
    </xf>
    <xf numFmtId="180" fontId="0" fillId="27" borderId="69" xfId="0" applyNumberFormat="1" applyFill="1" applyBorder="1" applyAlignment="1">
      <alignment horizontal="center"/>
    </xf>
    <xf numFmtId="171" fontId="0" fillId="27" borderId="2" xfId="0" applyNumberFormat="1" applyFill="1" applyBorder="1" applyAlignment="1">
      <alignment horizontal="center"/>
    </xf>
    <xf numFmtId="11" fontId="0" fillId="27" borderId="4" xfId="0" applyNumberFormat="1" applyFill="1" applyBorder="1" applyAlignment="1">
      <alignment horizontal="center"/>
    </xf>
    <xf numFmtId="11" fontId="0" fillId="27" borderId="75" xfId="0" applyNumberFormat="1" applyFill="1" applyBorder="1" applyAlignment="1">
      <alignment horizontal="center"/>
    </xf>
    <xf numFmtId="180" fontId="0" fillId="27" borderId="33" xfId="0" applyNumberFormat="1" applyFill="1" applyBorder="1" applyAlignment="1">
      <alignment horizontal="center"/>
    </xf>
    <xf numFmtId="180" fontId="0" fillId="27" borderId="67" xfId="0" applyNumberFormat="1" applyFill="1" applyBorder="1" applyAlignment="1">
      <alignment horizontal="center"/>
    </xf>
    <xf numFmtId="171" fontId="0" fillId="27" borderId="110" xfId="0" applyNumberFormat="1" applyFill="1" applyBorder="1" applyAlignment="1">
      <alignment horizontal="center"/>
    </xf>
    <xf numFmtId="11" fontId="0" fillId="27" borderId="32" xfId="0" applyNumberFormat="1" applyFill="1" applyBorder="1" applyAlignment="1">
      <alignment horizontal="center"/>
    </xf>
    <xf numFmtId="174" fontId="0" fillId="27" borderId="110" xfId="0" applyNumberFormat="1" applyFill="1" applyBorder="1" applyAlignment="1">
      <alignment horizontal="center"/>
    </xf>
    <xf numFmtId="11" fontId="0" fillId="27" borderId="67" xfId="0" applyNumberFormat="1" applyFill="1" applyBorder="1" applyAlignment="1">
      <alignment horizontal="center"/>
    </xf>
    <xf numFmtId="11" fontId="0" fillId="27" borderId="35" xfId="0" applyNumberFormat="1" applyFill="1" applyBorder="1" applyAlignment="1">
      <alignment horizontal="center"/>
    </xf>
    <xf numFmtId="180" fontId="0" fillId="27" borderId="7" xfId="0" applyNumberFormat="1" applyFill="1" applyBorder="1" applyAlignment="1">
      <alignment horizontal="center"/>
    </xf>
    <xf numFmtId="180" fontId="0" fillId="27" borderId="72" xfId="0" applyNumberFormat="1" applyFill="1" applyBorder="1" applyAlignment="1">
      <alignment horizontal="center"/>
    </xf>
    <xf numFmtId="11" fontId="0" fillId="27" borderId="6" xfId="0" applyNumberFormat="1" applyFill="1" applyBorder="1" applyAlignment="1">
      <alignment horizontal="center"/>
    </xf>
    <xf numFmtId="11" fontId="0" fillId="27" borderId="72" xfId="0" applyNumberFormat="1" applyFill="1" applyBorder="1" applyAlignment="1">
      <alignment horizontal="center"/>
    </xf>
    <xf numFmtId="11" fontId="0" fillId="27" borderId="8" xfId="0" applyNumberFormat="1" applyFill="1" applyBorder="1" applyAlignment="1">
      <alignment horizontal="center"/>
    </xf>
    <xf numFmtId="0" fontId="0" fillId="27" borderId="58" xfId="0" applyFill="1" applyBorder="1" applyAlignment="1">
      <alignment horizontal="center"/>
    </xf>
    <xf numFmtId="0" fontId="0" fillId="27" borderId="42" xfId="0" applyFill="1" applyBorder="1" applyAlignment="1">
      <alignment horizontal="center"/>
    </xf>
    <xf numFmtId="0" fontId="0" fillId="27" borderId="1" xfId="0" applyFill="1" applyBorder="1" applyAlignment="1">
      <alignment horizontal="center"/>
    </xf>
    <xf numFmtId="0" fontId="0" fillId="27" borderId="73" xfId="0" applyFill="1" applyBorder="1" applyAlignment="1">
      <alignment horizontal="center"/>
    </xf>
    <xf numFmtId="0" fontId="0" fillId="27" borderId="3" xfId="0" applyFill="1" applyBorder="1" applyAlignment="1">
      <alignment horizontal="center"/>
    </xf>
    <xf numFmtId="175" fontId="0" fillId="27" borderId="1" xfId="0" applyNumberFormat="1" applyFill="1" applyBorder="1" applyAlignment="1">
      <alignment horizontal="center"/>
    </xf>
    <xf numFmtId="168" fontId="0" fillId="27" borderId="32" xfId="0" applyNumberFormat="1" applyFill="1" applyBorder="1" applyAlignment="1">
      <alignment horizontal="center"/>
    </xf>
    <xf numFmtId="168" fontId="0" fillId="27" borderId="67" xfId="0" applyNumberFormat="1" applyFill="1" applyBorder="1" applyAlignment="1">
      <alignment horizontal="center"/>
    </xf>
    <xf numFmtId="0" fontId="0" fillId="27" borderId="41" xfId="0" applyFill="1" applyBorder="1" applyAlignment="1">
      <alignment horizontal="center"/>
    </xf>
    <xf numFmtId="0" fontId="0" fillId="27" borderId="121" xfId="0" applyFill="1" applyBorder="1" applyAlignment="1">
      <alignment horizontal="center"/>
    </xf>
    <xf numFmtId="0" fontId="0" fillId="27" borderId="122" xfId="0" applyFill="1" applyBorder="1" applyAlignment="1">
      <alignment horizontal="center"/>
    </xf>
    <xf numFmtId="175" fontId="0" fillId="27" borderId="121" xfId="0" applyNumberFormat="1" applyFill="1" applyBorder="1" applyAlignment="1">
      <alignment horizontal="center"/>
    </xf>
    <xf numFmtId="0" fontId="0" fillId="27" borderId="110" xfId="0" applyFill="1" applyBorder="1" applyAlignment="1">
      <alignment horizontal="center"/>
    </xf>
    <xf numFmtId="0" fontId="0" fillId="27" borderId="101" xfId="0" applyFill="1" applyBorder="1" applyAlignment="1">
      <alignment horizontal="center"/>
    </xf>
    <xf numFmtId="11" fontId="0" fillId="27" borderId="110" xfId="0" applyNumberFormat="1" applyFill="1" applyBorder="1" applyAlignment="1">
      <alignment horizontal="center"/>
    </xf>
    <xf numFmtId="175" fontId="0" fillId="27" borderId="110" xfId="0" applyNumberFormat="1" applyFill="1" applyBorder="1" applyAlignment="1">
      <alignment horizontal="center"/>
    </xf>
    <xf numFmtId="1" fontId="0" fillId="27" borderId="45" xfId="0" applyNumberFormat="1" applyFill="1" applyBorder="1" applyAlignment="1">
      <alignment horizontal="center"/>
    </xf>
    <xf numFmtId="0" fontId="0" fillId="27" borderId="56" xfId="0" applyFill="1" applyBorder="1" applyAlignment="1">
      <alignment horizontal="center"/>
    </xf>
    <xf numFmtId="0" fontId="0" fillId="27" borderId="40" xfId="0" applyFill="1" applyBorder="1" applyAlignment="1">
      <alignment horizontal="center"/>
    </xf>
    <xf numFmtId="0" fontId="0" fillId="27" borderId="45" xfId="0" applyFill="1" applyBorder="1" applyAlignment="1">
      <alignment horizontal="center"/>
    </xf>
    <xf numFmtId="0" fontId="0" fillId="27" borderId="118" xfId="0" applyFill="1" applyBorder="1" applyAlignment="1">
      <alignment horizontal="center"/>
    </xf>
    <xf numFmtId="0" fontId="0" fillId="27" borderId="119" xfId="0" applyFill="1" applyBorder="1" applyAlignment="1">
      <alignment horizontal="center"/>
    </xf>
    <xf numFmtId="175" fontId="0" fillId="27" borderId="45" xfId="0" applyNumberFormat="1" applyFill="1" applyBorder="1" applyAlignment="1">
      <alignment horizontal="center"/>
    </xf>
    <xf numFmtId="175" fontId="0" fillId="27" borderId="118" xfId="0" applyNumberFormat="1" applyFill="1" applyBorder="1" applyAlignment="1">
      <alignment horizontal="center"/>
    </xf>
    <xf numFmtId="0" fontId="0" fillId="27" borderId="53" xfId="0" applyFill="1" applyBorder="1" applyAlignment="1">
      <alignment horizontal="center"/>
    </xf>
    <xf numFmtId="0" fontId="0" fillId="27" borderId="2" xfId="0" applyFill="1" applyBorder="1" applyAlignment="1">
      <alignment horizontal="center"/>
    </xf>
    <xf numFmtId="11" fontId="0" fillId="27" borderId="2" xfId="0" applyNumberFormat="1" applyFill="1" applyBorder="1" applyAlignment="1">
      <alignment horizontal="center"/>
    </xf>
    <xf numFmtId="11" fontId="0" fillId="27" borderId="73" xfId="0" applyNumberFormat="1" applyFill="1" applyBorder="1" applyAlignment="1">
      <alignment horizontal="center"/>
    </xf>
    <xf numFmtId="175" fontId="0" fillId="27" borderId="73" xfId="0" applyNumberFormat="1" applyFill="1" applyBorder="1" applyAlignment="1">
      <alignment horizontal="center"/>
    </xf>
    <xf numFmtId="175" fontId="0" fillId="27" borderId="3" xfId="0" applyNumberFormat="1" applyFill="1" applyBorder="1" applyAlignment="1">
      <alignment horizontal="center"/>
    </xf>
    <xf numFmtId="11" fontId="0" fillId="27" borderId="37" xfId="0" applyNumberFormat="1" applyFill="1" applyBorder="1" applyAlignment="1">
      <alignment horizontal="center"/>
    </xf>
    <xf numFmtId="11" fontId="0" fillId="27" borderId="70" xfId="0" applyNumberFormat="1" applyFill="1" applyBorder="1" applyAlignment="1">
      <alignment horizontal="center"/>
    </xf>
    <xf numFmtId="175" fontId="0" fillId="27" borderId="36" xfId="0" applyNumberFormat="1" applyFill="1" applyBorder="1" applyAlignment="1">
      <alignment horizontal="center"/>
    </xf>
    <xf numFmtId="175" fontId="0" fillId="27" borderId="39" xfId="0" applyNumberFormat="1" applyFill="1" applyBorder="1" applyAlignment="1">
      <alignment horizontal="center"/>
    </xf>
    <xf numFmtId="1" fontId="0" fillId="29" borderId="41" xfId="0" applyNumberFormat="1" applyFill="1" applyBorder="1" applyAlignment="1">
      <alignment horizontal="center"/>
    </xf>
    <xf numFmtId="0" fontId="0" fillId="29" borderId="58" xfId="0" applyFill="1" applyBorder="1" applyAlignment="1">
      <alignment horizontal="center"/>
    </xf>
    <xf numFmtId="0" fontId="0" fillId="29" borderId="42" xfId="0" applyFill="1" applyBorder="1" applyAlignment="1">
      <alignment horizontal="center"/>
    </xf>
    <xf numFmtId="1" fontId="0" fillId="29" borderId="43" xfId="0" applyNumberFormat="1" applyFill="1" applyBorder="1" applyAlignment="1">
      <alignment horizontal="center"/>
    </xf>
    <xf numFmtId="172" fontId="0" fillId="29" borderId="41" xfId="0" applyNumberFormat="1" applyFill="1" applyBorder="1" applyAlignment="1">
      <alignment horizontal="center"/>
    </xf>
    <xf numFmtId="172" fontId="0" fillId="29" borderId="69" xfId="0" applyNumberFormat="1" applyFill="1" applyBorder="1" applyAlignment="1">
      <alignment horizontal="center"/>
    </xf>
    <xf numFmtId="172" fontId="0" fillId="29" borderId="44" xfId="0" applyNumberFormat="1" applyFill="1" applyBorder="1" applyAlignment="1">
      <alignment horizontal="center"/>
    </xf>
    <xf numFmtId="172" fontId="7" fillId="30" borderId="135" xfId="1" applyNumberFormat="1" applyFill="1" applyBorder="1" applyAlignment="1">
      <alignment horizontal="center"/>
    </xf>
    <xf numFmtId="172" fontId="7" fillId="30" borderId="141" xfId="1" applyNumberFormat="1" applyFill="1" applyBorder="1" applyAlignment="1">
      <alignment horizontal="center"/>
    </xf>
    <xf numFmtId="175" fontId="0" fillId="29" borderId="41" xfId="0" applyNumberFormat="1" applyFill="1" applyBorder="1" applyAlignment="1">
      <alignment horizontal="center"/>
    </xf>
    <xf numFmtId="175" fontId="0" fillId="29" borderId="69" xfId="0" applyNumberFormat="1" applyFill="1" applyBorder="1" applyAlignment="1">
      <alignment horizontal="center"/>
    </xf>
    <xf numFmtId="175" fontId="0" fillId="29" borderId="44" xfId="0" applyNumberFormat="1" applyFill="1" applyBorder="1" applyAlignment="1">
      <alignment horizontal="center"/>
    </xf>
    <xf numFmtId="1" fontId="0" fillId="29" borderId="32" xfId="0" applyNumberFormat="1" applyFill="1" applyBorder="1" applyAlignment="1">
      <alignment horizontal="center"/>
    </xf>
    <xf numFmtId="0" fontId="0" fillId="29" borderId="55" xfId="0" applyFill="1" applyBorder="1" applyAlignment="1">
      <alignment horizontal="center"/>
    </xf>
    <xf numFmtId="0" fontId="0" fillId="29" borderId="33" xfId="0" applyFill="1" applyBorder="1" applyAlignment="1">
      <alignment horizontal="center"/>
    </xf>
    <xf numFmtId="1" fontId="0" fillId="29" borderId="34" xfId="0" applyNumberFormat="1" applyFill="1" applyBorder="1" applyAlignment="1">
      <alignment horizontal="center"/>
    </xf>
    <xf numFmtId="172" fontId="7" fillId="30" borderId="133" xfId="1" applyNumberFormat="1" applyFill="1" applyBorder="1" applyAlignment="1">
      <alignment horizontal="center"/>
    </xf>
    <xf numFmtId="172" fontId="7" fillId="30" borderId="142" xfId="1" applyNumberFormat="1" applyFill="1" applyBorder="1" applyAlignment="1">
      <alignment horizontal="center"/>
    </xf>
    <xf numFmtId="164" fontId="0" fillId="29" borderId="36" xfId="0" applyNumberFormat="1" applyFill="1" applyBorder="1" applyAlignment="1">
      <alignment horizontal="center"/>
    </xf>
    <xf numFmtId="0" fontId="0" fillId="29" borderId="57" xfId="0" applyFill="1" applyBorder="1" applyAlignment="1">
      <alignment horizontal="center"/>
    </xf>
    <xf numFmtId="0" fontId="0" fillId="29" borderId="50" xfId="0" applyFill="1" applyBorder="1" applyAlignment="1">
      <alignment horizontal="center"/>
    </xf>
    <xf numFmtId="1" fontId="0" fillId="29" borderId="38" xfId="0" applyNumberFormat="1" applyFill="1" applyBorder="1" applyAlignment="1">
      <alignment horizontal="center"/>
    </xf>
    <xf numFmtId="0" fontId="0" fillId="29" borderId="37" xfId="0" applyFill="1" applyBorder="1" applyAlignment="1">
      <alignment horizontal="center"/>
    </xf>
    <xf numFmtId="172" fontId="0" fillId="29" borderId="6" xfId="0" applyNumberFormat="1" applyFill="1" applyBorder="1" applyAlignment="1">
      <alignment horizontal="center"/>
    </xf>
    <xf numFmtId="172" fontId="0" fillId="29" borderId="72" xfId="0" applyNumberFormat="1" applyFill="1" applyBorder="1" applyAlignment="1">
      <alignment horizontal="center"/>
    </xf>
    <xf numFmtId="172" fontId="0" fillId="29" borderId="8" xfId="0" applyNumberFormat="1" applyFill="1" applyBorder="1" applyAlignment="1">
      <alignment horizontal="center"/>
    </xf>
    <xf numFmtId="172" fontId="7" fillId="30" borderId="146" xfId="1" applyNumberFormat="1" applyFill="1" applyBorder="1" applyAlignment="1">
      <alignment horizontal="center"/>
    </xf>
    <xf numFmtId="172" fontId="7" fillId="30" borderId="147" xfId="1" applyNumberFormat="1" applyFill="1" applyBorder="1" applyAlignment="1">
      <alignment horizontal="center"/>
    </xf>
    <xf numFmtId="175" fontId="0" fillId="29" borderId="6" xfId="0" applyNumberFormat="1" applyFill="1" applyBorder="1" applyAlignment="1">
      <alignment horizontal="center"/>
    </xf>
    <xf numFmtId="175" fontId="0" fillId="29" borderId="72" xfId="0" applyNumberFormat="1" applyFill="1" applyBorder="1" applyAlignment="1">
      <alignment horizontal="center"/>
    </xf>
    <xf numFmtId="175" fontId="0" fillId="29" borderId="8" xfId="0" applyNumberFormat="1" applyFill="1" applyBorder="1" applyAlignment="1">
      <alignment horizontal="center"/>
    </xf>
    <xf numFmtId="2" fontId="0" fillId="29" borderId="63" xfId="0" applyNumberFormat="1" applyFill="1" applyBorder="1" applyAlignment="1">
      <alignment horizontal="center"/>
    </xf>
    <xf numFmtId="0" fontId="0" fillId="29" borderId="64" xfId="0" applyFill="1" applyBorder="1" applyAlignment="1">
      <alignment horizontal="center"/>
    </xf>
    <xf numFmtId="0" fontId="0" fillId="29" borderId="81" xfId="0" applyFill="1" applyBorder="1" applyAlignment="1">
      <alignment horizontal="center"/>
    </xf>
    <xf numFmtId="171" fontId="0" fillId="29" borderId="63" xfId="0" applyNumberFormat="1" applyFill="1" applyBorder="1" applyAlignment="1">
      <alignment horizontal="center"/>
    </xf>
    <xf numFmtId="2" fontId="0" fillId="29" borderId="103" xfId="0" applyNumberFormat="1" applyFill="1" applyBorder="1" applyAlignment="1">
      <alignment horizontal="center"/>
    </xf>
    <xf numFmtId="171" fontId="0" fillId="29" borderId="103" xfId="0" applyNumberFormat="1" applyFill="1" applyBorder="1" applyAlignment="1">
      <alignment horizontal="center"/>
    </xf>
    <xf numFmtId="169" fontId="0" fillId="29" borderId="65" xfId="0" applyNumberFormat="1" applyFill="1" applyBorder="1" applyAlignment="1">
      <alignment horizontal="center"/>
    </xf>
    <xf numFmtId="175" fontId="0" fillId="29" borderId="81" xfId="0" applyNumberFormat="1" applyFill="1" applyBorder="1" applyAlignment="1">
      <alignment horizontal="center"/>
    </xf>
    <xf numFmtId="175" fontId="0" fillId="29" borderId="103" xfId="0" applyNumberFormat="1" applyFill="1" applyBorder="1" applyAlignment="1">
      <alignment horizontal="center"/>
    </xf>
    <xf numFmtId="175" fontId="0" fillId="29" borderId="65" xfId="0" applyNumberFormat="1" applyFill="1" applyBorder="1" applyAlignment="1">
      <alignment horizontal="center"/>
    </xf>
    <xf numFmtId="0" fontId="0" fillId="29" borderId="41" xfId="0" applyFill="1" applyBorder="1" applyAlignment="1">
      <alignment horizontal="center"/>
    </xf>
    <xf numFmtId="0" fontId="0" fillId="29" borderId="44" xfId="0" applyFill="1" applyBorder="1" applyAlignment="1">
      <alignment horizontal="center"/>
    </xf>
    <xf numFmtId="0" fontId="0" fillId="29" borderId="75" xfId="0" applyFill="1" applyBorder="1" applyAlignment="1">
      <alignment horizontal="center"/>
    </xf>
    <xf numFmtId="175" fontId="0" fillId="29" borderId="75" xfId="0" applyNumberFormat="1" applyFill="1" applyBorder="1" applyAlignment="1">
      <alignment horizontal="center"/>
    </xf>
    <xf numFmtId="0" fontId="0" fillId="29" borderId="45" xfId="0" applyFill="1" applyBorder="1" applyAlignment="1">
      <alignment horizontal="center"/>
    </xf>
    <xf numFmtId="0" fontId="0" fillId="29" borderId="56" xfId="0" applyFill="1" applyBorder="1" applyAlignment="1">
      <alignment horizontal="center"/>
    </xf>
    <xf numFmtId="0" fontId="0" fillId="29" borderId="40" xfId="0" applyFill="1" applyBorder="1" applyAlignment="1">
      <alignment horizontal="center"/>
    </xf>
    <xf numFmtId="0" fontId="0" fillId="29" borderId="46" xfId="0" applyFill="1" applyBorder="1" applyAlignment="1">
      <alignment horizontal="center"/>
    </xf>
    <xf numFmtId="0" fontId="0" fillId="29" borderId="70" xfId="0" applyFill="1" applyBorder="1" applyAlignment="1">
      <alignment horizontal="center"/>
    </xf>
    <xf numFmtId="175" fontId="0" fillId="29" borderId="70" xfId="0" applyNumberFormat="1" applyFill="1" applyBorder="1" applyAlignment="1">
      <alignment horizontal="center"/>
    </xf>
    <xf numFmtId="1" fontId="0" fillId="29" borderId="28" xfId="0" applyNumberFormat="1" applyFill="1" applyBorder="1" applyAlignment="1">
      <alignment horizontal="center"/>
    </xf>
    <xf numFmtId="0" fontId="0" fillId="29" borderId="54" xfId="0" applyFill="1" applyBorder="1" applyAlignment="1">
      <alignment horizontal="center"/>
    </xf>
    <xf numFmtId="0" fontId="0" fillId="29" borderId="35" xfId="0" applyFill="1" applyBorder="1" applyAlignment="1">
      <alignment horizontal="center"/>
    </xf>
    <xf numFmtId="0" fontId="0" fillId="29" borderId="32" xfId="0" applyFill="1" applyBorder="1" applyAlignment="1">
      <alignment horizontal="center"/>
    </xf>
    <xf numFmtId="1" fontId="0" fillId="29" borderId="36" xfId="0" applyNumberFormat="1" applyFill="1" applyBorder="1" applyAlignment="1">
      <alignment horizontal="center"/>
    </xf>
    <xf numFmtId="0" fontId="0" fillId="29" borderId="39" xfId="0" applyFill="1" applyBorder="1" applyAlignment="1">
      <alignment horizontal="center"/>
    </xf>
    <xf numFmtId="0" fontId="0" fillId="29" borderId="8" xfId="0" applyFill="1" applyBorder="1" applyAlignment="1">
      <alignment horizontal="center"/>
    </xf>
    <xf numFmtId="0" fontId="0" fillId="29" borderId="4" xfId="0" applyFill="1" applyBorder="1" applyAlignment="1">
      <alignment horizontal="center"/>
    </xf>
    <xf numFmtId="0" fontId="0" fillId="29" borderId="59" xfId="0" applyFill="1" applyBorder="1" applyAlignment="1">
      <alignment horizontal="center"/>
    </xf>
    <xf numFmtId="0" fontId="0" fillId="29" borderId="0" xfId="0" applyFill="1" applyBorder="1" applyAlignment="1">
      <alignment horizontal="center"/>
    </xf>
    <xf numFmtId="0" fontId="0" fillId="29" borderId="5" xfId="0" applyFill="1" applyBorder="1" applyAlignment="1">
      <alignment horizontal="center"/>
    </xf>
    <xf numFmtId="175" fontId="0" fillId="29" borderId="4" xfId="0" applyNumberFormat="1" applyFill="1" applyBorder="1" applyAlignment="1">
      <alignment horizontal="center"/>
    </xf>
    <xf numFmtId="175" fontId="0" fillId="29" borderId="5" xfId="0" applyNumberFormat="1" applyFill="1" applyBorder="1" applyAlignment="1">
      <alignment horizontal="center"/>
    </xf>
    <xf numFmtId="0" fontId="0" fillId="29" borderId="36" xfId="0" applyFill="1" applyBorder="1" applyAlignment="1">
      <alignment horizontal="center"/>
    </xf>
    <xf numFmtId="175" fontId="0" fillId="29" borderId="36" xfId="0" applyNumberFormat="1" applyFill="1" applyBorder="1" applyAlignment="1">
      <alignment horizontal="center"/>
    </xf>
    <xf numFmtId="175" fontId="0" fillId="29" borderId="39" xfId="0" applyNumberFormat="1" applyFill="1" applyBorder="1" applyAlignment="1">
      <alignment horizontal="center"/>
    </xf>
    <xf numFmtId="0" fontId="0" fillId="29" borderId="29" xfId="0" applyFill="1" applyBorder="1" applyAlignment="1">
      <alignment horizontal="center"/>
    </xf>
    <xf numFmtId="0" fontId="0" fillId="29" borderId="28" xfId="0" applyFill="1" applyBorder="1" applyAlignment="1">
      <alignment horizontal="center"/>
    </xf>
    <xf numFmtId="0" fontId="0" fillId="29" borderId="124" xfId="0" applyFill="1" applyBorder="1" applyAlignment="1">
      <alignment horizontal="center"/>
    </xf>
    <xf numFmtId="0" fontId="0" fillId="29" borderId="125" xfId="0" applyFill="1" applyBorder="1" applyAlignment="1">
      <alignment horizontal="center"/>
    </xf>
    <xf numFmtId="175" fontId="0" fillId="29" borderId="28" xfId="0" applyNumberFormat="1" applyFill="1" applyBorder="1" applyAlignment="1">
      <alignment horizontal="center"/>
    </xf>
    <xf numFmtId="175" fontId="0" fillId="29" borderId="124" xfId="0" applyNumberFormat="1" applyFill="1" applyBorder="1" applyAlignment="1">
      <alignment horizontal="center"/>
    </xf>
    <xf numFmtId="0" fontId="0" fillId="29" borderId="110" xfId="0" applyFill="1" applyBorder="1" applyAlignment="1">
      <alignment horizontal="center"/>
    </xf>
    <xf numFmtId="0" fontId="0" fillId="29" borderId="101" xfId="0" applyFill="1" applyBorder="1" applyAlignment="1">
      <alignment horizontal="center"/>
    </xf>
    <xf numFmtId="175" fontId="0" fillId="29" borderId="32" xfId="0" applyNumberFormat="1" applyFill="1" applyBorder="1" applyAlignment="1">
      <alignment horizontal="center"/>
    </xf>
    <xf numFmtId="175" fontId="0" fillId="29" borderId="110" xfId="0" applyNumberFormat="1" applyFill="1" applyBorder="1" applyAlignment="1">
      <alignment horizontal="center"/>
    </xf>
    <xf numFmtId="0" fontId="0" fillId="29" borderId="112" xfId="0" applyFill="1" applyBorder="1" applyAlignment="1">
      <alignment horizontal="center"/>
    </xf>
    <xf numFmtId="0" fontId="0" fillId="29" borderId="116" xfId="0" applyFill="1" applyBorder="1" applyAlignment="1">
      <alignment horizontal="center"/>
    </xf>
    <xf numFmtId="175" fontId="0" fillId="29" borderId="112" xfId="0" applyNumberFormat="1" applyFill="1" applyBorder="1" applyAlignment="1">
      <alignment horizontal="center"/>
    </xf>
    <xf numFmtId="2" fontId="0" fillId="19" borderId="63" xfId="0" applyNumberFormat="1" applyFill="1" applyBorder="1" applyAlignment="1">
      <alignment horizontal="center"/>
    </xf>
    <xf numFmtId="0" fontId="0" fillId="19" borderId="64" xfId="0" applyFill="1" applyBorder="1" applyAlignment="1">
      <alignment horizontal="center"/>
    </xf>
    <xf numFmtId="0" fontId="0" fillId="19" borderId="81" xfId="0" applyFill="1" applyBorder="1" applyAlignment="1">
      <alignment horizontal="center"/>
    </xf>
    <xf numFmtId="175" fontId="0" fillId="19" borderId="81" xfId="0" applyNumberFormat="1" applyFill="1" applyBorder="1" applyAlignment="1">
      <alignment horizontal="center"/>
    </xf>
    <xf numFmtId="175" fontId="0" fillId="19" borderId="103" xfId="0" applyNumberFormat="1" applyFill="1" applyBorder="1" applyAlignment="1">
      <alignment horizontal="center"/>
    </xf>
    <xf numFmtId="175" fontId="0" fillId="19" borderId="65" xfId="0" applyNumberFormat="1" applyFill="1" applyBorder="1" applyAlignment="1">
      <alignment horizontal="center"/>
    </xf>
    <xf numFmtId="0" fontId="0" fillId="19" borderId="28" xfId="0" applyFill="1" applyBorder="1" applyAlignment="1">
      <alignment horizontal="center"/>
    </xf>
    <xf numFmtId="0" fontId="0" fillId="19" borderId="54" xfId="0" applyFill="1" applyBorder="1" applyAlignment="1">
      <alignment horizontal="center"/>
    </xf>
    <xf numFmtId="0" fontId="0" fillId="19" borderId="29" xfId="0" applyFill="1" applyBorder="1" applyAlignment="1">
      <alignment horizontal="center"/>
    </xf>
    <xf numFmtId="0" fontId="0" fillId="19" borderId="31" xfId="0" applyFill="1" applyBorder="1" applyAlignment="1">
      <alignment horizontal="center"/>
    </xf>
    <xf numFmtId="0" fontId="0" fillId="19" borderId="6" xfId="0" applyFill="1" applyBorder="1" applyAlignment="1">
      <alignment horizontal="center"/>
    </xf>
    <xf numFmtId="0" fontId="0" fillId="19" borderId="62" xfId="0" applyFill="1" applyBorder="1" applyAlignment="1">
      <alignment horizontal="center"/>
    </xf>
    <xf numFmtId="0" fontId="0" fillId="19" borderId="7" xfId="0" applyFill="1" applyBorder="1" applyAlignment="1">
      <alignment horizontal="center"/>
    </xf>
    <xf numFmtId="0" fontId="0" fillId="19" borderId="8" xfId="0" applyFill="1" applyBorder="1" applyAlignment="1">
      <alignment horizontal="center"/>
    </xf>
    <xf numFmtId="0" fontId="0" fillId="19" borderId="70" xfId="0" applyFill="1" applyBorder="1" applyAlignment="1">
      <alignment horizontal="center"/>
    </xf>
    <xf numFmtId="175" fontId="0" fillId="19" borderId="70" xfId="0" applyNumberFormat="1" applyFill="1" applyBorder="1" applyAlignment="1">
      <alignment horizontal="center"/>
    </xf>
    <xf numFmtId="1" fontId="0" fillId="19" borderId="41" xfId="0" applyNumberFormat="1" applyFill="1" applyBorder="1" applyAlignment="1">
      <alignment horizontal="center"/>
    </xf>
    <xf numFmtId="0" fontId="0" fillId="19" borderId="58" xfId="0" applyFill="1" applyBorder="1" applyAlignment="1">
      <alignment horizontal="center"/>
    </xf>
    <xf numFmtId="0" fontId="0" fillId="19" borderId="42" xfId="0" applyFill="1" applyBorder="1" applyAlignment="1">
      <alignment horizontal="center"/>
    </xf>
    <xf numFmtId="0" fontId="0" fillId="19" borderId="41" xfId="0" applyFill="1" applyBorder="1" applyAlignment="1">
      <alignment horizontal="center"/>
    </xf>
    <xf numFmtId="0" fontId="0" fillId="19" borderId="121" xfId="0" applyFill="1" applyBorder="1" applyAlignment="1">
      <alignment horizontal="center"/>
    </xf>
    <xf numFmtId="0" fontId="0" fillId="19" borderId="122" xfId="0" applyFill="1" applyBorder="1" applyAlignment="1">
      <alignment horizontal="center"/>
    </xf>
    <xf numFmtId="175" fontId="0" fillId="19" borderId="41" xfId="0" applyNumberFormat="1" applyFill="1" applyBorder="1" applyAlignment="1">
      <alignment horizontal="center"/>
    </xf>
    <xf numFmtId="175" fontId="0" fillId="19" borderId="121" xfId="0" applyNumberFormat="1" applyFill="1" applyBorder="1" applyAlignment="1">
      <alignment horizontal="center"/>
    </xf>
    <xf numFmtId="1" fontId="0" fillId="19" borderId="32" xfId="0" applyNumberFormat="1" applyFill="1" applyBorder="1" applyAlignment="1">
      <alignment horizontal="center"/>
    </xf>
    <xf numFmtId="0" fontId="0" fillId="19" borderId="32" xfId="0" applyFill="1" applyBorder="1" applyAlignment="1">
      <alignment horizontal="center"/>
    </xf>
    <xf numFmtId="0" fontId="0" fillId="19" borderId="110" xfId="0" applyFill="1" applyBorder="1" applyAlignment="1">
      <alignment horizontal="center"/>
    </xf>
    <xf numFmtId="0" fontId="0" fillId="19" borderId="101" xfId="0" applyFill="1" applyBorder="1" applyAlignment="1">
      <alignment horizontal="center"/>
    </xf>
    <xf numFmtId="175" fontId="0" fillId="19" borderId="32" xfId="0" applyNumberFormat="1" applyFill="1" applyBorder="1" applyAlignment="1">
      <alignment horizontal="center"/>
    </xf>
    <xf numFmtId="175" fontId="0" fillId="19" borderId="110" xfId="0" applyNumberFormat="1" applyFill="1" applyBorder="1" applyAlignment="1">
      <alignment horizontal="center"/>
    </xf>
    <xf numFmtId="1" fontId="0" fillId="19" borderId="45" xfId="0" applyNumberFormat="1" applyFill="1" applyBorder="1" applyAlignment="1">
      <alignment horizontal="center"/>
    </xf>
    <xf numFmtId="0" fontId="0" fillId="19" borderId="56" xfId="0" applyFill="1" applyBorder="1" applyAlignment="1">
      <alignment horizontal="center"/>
    </xf>
    <xf numFmtId="0" fontId="0" fillId="19" borderId="40" xfId="0" applyFill="1" applyBorder="1" applyAlignment="1">
      <alignment horizontal="center"/>
    </xf>
    <xf numFmtId="0" fontId="0" fillId="19" borderId="45" xfId="0" applyFill="1" applyBorder="1" applyAlignment="1">
      <alignment horizontal="center"/>
    </xf>
    <xf numFmtId="0" fontId="0" fillId="19" borderId="118" xfId="0" applyFill="1" applyBorder="1" applyAlignment="1">
      <alignment horizontal="center"/>
    </xf>
    <xf numFmtId="0" fontId="0" fillId="19" borderId="119" xfId="0" applyFill="1" applyBorder="1" applyAlignment="1">
      <alignment horizontal="center"/>
    </xf>
    <xf numFmtId="175" fontId="0" fillId="19" borderId="45" xfId="0" applyNumberFormat="1" applyFill="1" applyBorder="1" applyAlignment="1">
      <alignment horizontal="center"/>
    </xf>
    <xf numFmtId="175" fontId="0" fillId="19" borderId="118" xfId="0" applyNumberForma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19" borderId="53" xfId="0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19" borderId="73" xfId="0" applyFill="1" applyBorder="1" applyAlignment="1">
      <alignment horizontal="center"/>
    </xf>
    <xf numFmtId="0" fontId="0" fillId="19" borderId="3" xfId="0" applyFill="1" applyBorder="1" applyAlignment="1">
      <alignment horizontal="center"/>
    </xf>
    <xf numFmtId="11" fontId="0" fillId="19" borderId="73" xfId="0" applyNumberFormat="1" applyFill="1" applyBorder="1" applyAlignment="1">
      <alignment horizontal="center"/>
    </xf>
    <xf numFmtId="175" fontId="0" fillId="19" borderId="1" xfId="0" applyNumberFormat="1" applyFill="1" applyBorder="1" applyAlignment="1">
      <alignment horizontal="center"/>
    </xf>
    <xf numFmtId="175" fontId="0" fillId="19" borderId="73" xfId="0" applyNumberFormat="1" applyFill="1" applyBorder="1" applyAlignment="1">
      <alignment horizontal="center"/>
    </xf>
    <xf numFmtId="175" fontId="0" fillId="19" borderId="3" xfId="0" applyNumberFormat="1" applyFill="1" applyBorder="1" applyAlignment="1">
      <alignment horizontal="center"/>
    </xf>
    <xf numFmtId="0" fontId="0" fillId="19" borderId="36" xfId="0" applyFill="1" applyBorder="1" applyAlignment="1">
      <alignment horizontal="center"/>
    </xf>
    <xf numFmtId="0" fontId="0" fillId="19" borderId="57" xfId="0" applyFill="1" applyBorder="1" applyAlignment="1">
      <alignment horizontal="center"/>
    </xf>
    <xf numFmtId="0" fontId="0" fillId="19" borderId="37" xfId="0" applyFill="1" applyBorder="1" applyAlignment="1">
      <alignment horizontal="center"/>
    </xf>
    <xf numFmtId="0" fontId="0" fillId="19" borderId="39" xfId="0" applyFill="1" applyBorder="1" applyAlignment="1">
      <alignment horizontal="center"/>
    </xf>
    <xf numFmtId="11" fontId="0" fillId="19" borderId="70" xfId="0" applyNumberFormat="1" applyFill="1" applyBorder="1" applyAlignment="1">
      <alignment horizontal="center"/>
    </xf>
    <xf numFmtId="175" fontId="0" fillId="19" borderId="36" xfId="0" applyNumberFormat="1" applyFill="1" applyBorder="1" applyAlignment="1">
      <alignment horizontal="center"/>
    </xf>
    <xf numFmtId="175" fontId="0" fillId="19" borderId="39" xfId="0" applyNumberFormat="1" applyFill="1" applyBorder="1" applyAlignment="1">
      <alignment horizontal="center"/>
    </xf>
    <xf numFmtId="0" fontId="0" fillId="33" borderId="4" xfId="0" applyFill="1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75" xfId="0" applyFill="1" applyBorder="1" applyAlignment="1">
      <alignment horizontal="center"/>
    </xf>
    <xf numFmtId="0" fontId="0" fillId="33" borderId="5" xfId="0" applyFill="1" applyBorder="1" applyAlignment="1">
      <alignment horizontal="center"/>
    </xf>
    <xf numFmtId="175" fontId="0" fillId="33" borderId="4" xfId="0" applyNumberFormat="1" applyFill="1" applyBorder="1" applyAlignment="1">
      <alignment horizontal="center"/>
    </xf>
    <xf numFmtId="175" fontId="0" fillId="33" borderId="75" xfId="0" applyNumberFormat="1" applyFill="1" applyBorder="1" applyAlignment="1">
      <alignment horizontal="center"/>
    </xf>
    <xf numFmtId="175" fontId="0" fillId="33" borderId="5" xfId="0" applyNumberFormat="1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70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175" fontId="0" fillId="33" borderId="36" xfId="0" applyNumberFormat="1" applyFill="1" applyBorder="1" applyAlignment="1">
      <alignment horizontal="center"/>
    </xf>
    <xf numFmtId="175" fontId="0" fillId="33" borderId="70" xfId="0" applyNumberFormat="1" applyFill="1" applyBorder="1" applyAlignment="1">
      <alignment horizontal="center"/>
    </xf>
    <xf numFmtId="175" fontId="0" fillId="33" borderId="39" xfId="0" applyNumberFormat="1" applyFill="1" applyBorder="1" applyAlignment="1">
      <alignment horizontal="center"/>
    </xf>
    <xf numFmtId="1" fontId="0" fillId="33" borderId="28" xfId="0" applyNumberFormat="1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124" xfId="0" applyFill="1" applyBorder="1" applyAlignment="1">
      <alignment horizontal="center"/>
    </xf>
    <xf numFmtId="0" fontId="0" fillId="33" borderId="125" xfId="0" applyFill="1" applyBorder="1" applyAlignment="1">
      <alignment horizontal="center"/>
    </xf>
    <xf numFmtId="175" fontId="0" fillId="33" borderId="28" xfId="0" applyNumberFormat="1" applyFill="1" applyBorder="1" applyAlignment="1">
      <alignment horizontal="center"/>
    </xf>
    <xf numFmtId="175" fontId="0" fillId="33" borderId="124" xfId="0" applyNumberFormat="1" applyFill="1" applyBorder="1" applyAlignment="1">
      <alignment horizontal="center"/>
    </xf>
    <xf numFmtId="1" fontId="0" fillId="33" borderId="32" xfId="0" applyNumberFormat="1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10" xfId="0" applyFill="1" applyBorder="1" applyAlignment="1">
      <alignment horizontal="center"/>
    </xf>
    <xf numFmtId="0" fontId="0" fillId="33" borderId="101" xfId="0" applyFill="1" applyBorder="1" applyAlignment="1">
      <alignment horizontal="center"/>
    </xf>
    <xf numFmtId="175" fontId="0" fillId="33" borderId="32" xfId="0" applyNumberFormat="1" applyFill="1" applyBorder="1" applyAlignment="1">
      <alignment horizontal="center"/>
    </xf>
    <xf numFmtId="175" fontId="0" fillId="33" borderId="110" xfId="0" applyNumberFormat="1" applyFill="1" applyBorder="1" applyAlignment="1">
      <alignment horizontal="center"/>
    </xf>
    <xf numFmtId="1" fontId="0" fillId="33" borderId="6" xfId="0" applyNumberFormat="1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33" borderId="7" xfId="0" applyFill="1" applyBorder="1" applyAlignment="1">
      <alignment horizontal="center"/>
    </xf>
    <xf numFmtId="0" fontId="0" fillId="33" borderId="6" xfId="0" applyFill="1" applyBorder="1" applyAlignment="1">
      <alignment horizontal="center"/>
    </xf>
    <xf numFmtId="0" fontId="0" fillId="33" borderId="107" xfId="0" applyFill="1" applyBorder="1" applyAlignment="1">
      <alignment horizontal="center"/>
    </xf>
    <xf numFmtId="0" fontId="0" fillId="33" borderId="102" xfId="0" applyFill="1" applyBorder="1" applyAlignment="1">
      <alignment horizontal="center"/>
    </xf>
    <xf numFmtId="175" fontId="0" fillId="33" borderId="6" xfId="0" applyNumberFormat="1" applyFill="1" applyBorder="1" applyAlignment="1">
      <alignment horizontal="center"/>
    </xf>
    <xf numFmtId="175" fontId="0" fillId="33" borderId="107" xfId="0" applyNumberFormat="1" applyFill="1" applyBorder="1" applyAlignment="1">
      <alignment horizontal="center"/>
    </xf>
    <xf numFmtId="174" fontId="0" fillId="27" borderId="7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11" fontId="0" fillId="5" borderId="4" xfId="0" applyNumberFormat="1" applyFill="1" applyBorder="1" applyAlignment="1">
      <alignment horizontal="center"/>
    </xf>
    <xf numFmtId="0" fontId="0" fillId="4" borderId="80" xfId="0" applyFill="1" applyBorder="1" applyAlignment="1">
      <alignment horizontal="center"/>
    </xf>
    <xf numFmtId="164" fontId="0" fillId="10" borderId="6" xfId="0" applyNumberFormat="1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22" borderId="34" xfId="0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173" fontId="0" fillId="10" borderId="32" xfId="0" applyNumberFormat="1" applyFill="1" applyBorder="1" applyAlignment="1">
      <alignment horizontal="center"/>
    </xf>
    <xf numFmtId="171" fontId="0" fillId="7" borderId="40" xfId="0" applyNumberFormat="1" applyFill="1" applyBorder="1" applyAlignment="1">
      <alignment horizontal="center"/>
    </xf>
    <xf numFmtId="171" fontId="0" fillId="5" borderId="40" xfId="0" applyNumberFormat="1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2" fontId="0" fillId="7" borderId="46" xfId="0" applyNumberFormat="1" applyFill="1" applyBorder="1" applyAlignment="1">
      <alignment horizontal="center"/>
    </xf>
    <xf numFmtId="0" fontId="0" fillId="5" borderId="48" xfId="0" applyFill="1" applyBorder="1" applyAlignment="1">
      <alignment horizontal="center"/>
    </xf>
    <xf numFmtId="171" fontId="0" fillId="7" borderId="42" xfId="0" applyNumberFormat="1" applyFill="1" applyBorder="1" applyAlignment="1">
      <alignment horizontal="center"/>
    </xf>
    <xf numFmtId="164" fontId="0" fillId="10" borderId="28" xfId="0" applyNumberFormat="1" applyFill="1" applyBorder="1" applyAlignment="1">
      <alignment horizontal="center"/>
    </xf>
    <xf numFmtId="171" fontId="0" fillId="10" borderId="29" xfId="0" applyNumberFormat="1" applyFill="1" applyBorder="1" applyAlignment="1">
      <alignment horizontal="center"/>
    </xf>
    <xf numFmtId="173" fontId="0" fillId="10" borderId="6" xfId="0" applyNumberFormat="1" applyFill="1" applyBorder="1" applyAlignment="1">
      <alignment horizontal="center"/>
    </xf>
    <xf numFmtId="171" fontId="0" fillId="10" borderId="7" xfId="0" applyNumberFormat="1" applyFill="1" applyBorder="1" applyAlignment="1">
      <alignment horizontal="center"/>
    </xf>
    <xf numFmtId="171" fontId="0" fillId="22" borderId="37" xfId="0" applyNumberFormat="1" applyFill="1" applyBorder="1" applyAlignment="1">
      <alignment horizontal="center"/>
    </xf>
    <xf numFmtId="0" fontId="0" fillId="22" borderId="38" xfId="0" applyFill="1" applyBorder="1" applyAlignment="1">
      <alignment horizontal="center"/>
    </xf>
    <xf numFmtId="171" fontId="0" fillId="10" borderId="72" xfId="0" applyNumberForma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" fontId="0" fillId="29" borderId="6" xfId="0" applyNumberFormat="1" applyFill="1" applyBorder="1" applyAlignment="1">
      <alignment horizontal="center"/>
    </xf>
    <xf numFmtId="0" fontId="0" fillId="29" borderId="62" xfId="0" applyFill="1" applyBorder="1" applyAlignment="1">
      <alignment horizontal="center"/>
    </xf>
    <xf numFmtId="0" fontId="0" fillId="29" borderId="7" xfId="0" applyFill="1" applyBorder="1" applyAlignment="1">
      <alignment horizontal="center"/>
    </xf>
    <xf numFmtId="168" fontId="0" fillId="27" borderId="35" xfId="0" applyNumberFormat="1" applyFill="1" applyBorder="1" applyAlignment="1">
      <alignment horizontal="center"/>
    </xf>
    <xf numFmtId="168" fontId="0" fillId="29" borderId="44" xfId="0" applyNumberFormat="1" applyFill="1" applyBorder="1" applyAlignment="1">
      <alignment horizontal="center"/>
    </xf>
    <xf numFmtId="11" fontId="0" fillId="29" borderId="41" xfId="0" applyNumberFormat="1" applyFill="1" applyBorder="1" applyAlignment="1">
      <alignment horizontal="center"/>
    </xf>
    <xf numFmtId="11" fontId="0" fillId="29" borderId="69" xfId="0" applyNumberFormat="1" applyFill="1" applyBorder="1" applyAlignment="1">
      <alignment horizontal="center"/>
    </xf>
    <xf numFmtId="11" fontId="0" fillId="29" borderId="44" xfId="0" applyNumberFormat="1" applyFill="1" applyBorder="1" applyAlignment="1">
      <alignment horizontal="center"/>
    </xf>
    <xf numFmtId="175" fontId="0" fillId="29" borderId="67" xfId="0" applyNumberFormat="1" applyFill="1" applyBorder="1" applyAlignment="1">
      <alignment horizontal="center"/>
    </xf>
    <xf numFmtId="175" fontId="0" fillId="29" borderId="35" xfId="0" applyNumberFormat="1" applyFill="1" applyBorder="1" applyAlignment="1">
      <alignment horizontal="center"/>
    </xf>
    <xf numFmtId="2" fontId="0" fillId="7" borderId="45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11" fontId="0" fillId="5" borderId="40" xfId="0" applyNumberFormat="1" applyFill="1" applyBorder="1" applyAlignment="1">
      <alignment horizontal="center"/>
    </xf>
    <xf numFmtId="11" fontId="0" fillId="7" borderId="72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75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6" borderId="0" xfId="0" applyFill="1" applyBorder="1" applyAlignment="1"/>
    <xf numFmtId="11" fontId="0" fillId="6" borderId="0" xfId="0" applyNumberFormat="1" applyFill="1" applyBorder="1" applyAlignment="1">
      <alignment horizontal="center"/>
    </xf>
    <xf numFmtId="11" fontId="0" fillId="5" borderId="45" xfId="0" applyNumberFormat="1" applyFill="1" applyBorder="1" applyAlignment="1">
      <alignment horizontal="center"/>
    </xf>
    <xf numFmtId="11" fontId="0" fillId="5" borderId="46" xfId="0" applyNumberFormat="1" applyFill="1" applyBorder="1" applyAlignment="1">
      <alignment horizontal="center"/>
    </xf>
    <xf numFmtId="11" fontId="0" fillId="7" borderId="45" xfId="0" applyNumberFormat="1" applyFill="1" applyBorder="1" applyAlignment="1">
      <alignment horizontal="center"/>
    </xf>
    <xf numFmtId="0" fontId="0" fillId="5" borderId="111" xfId="0" applyFill="1" applyBorder="1" applyAlignment="1">
      <alignment horizontal="center"/>
    </xf>
    <xf numFmtId="0" fontId="0" fillId="5" borderId="182" xfId="0" applyFill="1" applyBorder="1" applyAlignment="1">
      <alignment horizontal="center"/>
    </xf>
    <xf numFmtId="0" fontId="0" fillId="10" borderId="116" xfId="0" applyFill="1" applyBorder="1" applyAlignment="1">
      <alignment horizontal="center"/>
    </xf>
    <xf numFmtId="0" fontId="0" fillId="27" borderId="116" xfId="0" applyFill="1" applyBorder="1" applyAlignment="1">
      <alignment horizontal="center"/>
    </xf>
    <xf numFmtId="0" fontId="0" fillId="27" borderId="112" xfId="0" applyFill="1" applyBorder="1" applyAlignment="1">
      <alignment horizontal="center"/>
    </xf>
    <xf numFmtId="0" fontId="0" fillId="29" borderId="122" xfId="0" applyFill="1" applyBorder="1" applyAlignment="1">
      <alignment horizontal="center"/>
    </xf>
    <xf numFmtId="0" fontId="0" fillId="29" borderId="121" xfId="0" applyFill="1" applyBorder="1" applyAlignment="1">
      <alignment horizontal="center"/>
    </xf>
    <xf numFmtId="0" fontId="0" fillId="19" borderId="116" xfId="0" applyFill="1" applyBorder="1" applyAlignment="1">
      <alignment horizontal="center"/>
    </xf>
    <xf numFmtId="0" fontId="0" fillId="19" borderId="112" xfId="0" applyFill="1" applyBorder="1" applyAlignment="1">
      <alignment horizontal="center"/>
    </xf>
    <xf numFmtId="0" fontId="0" fillId="3" borderId="99" xfId="0" applyFill="1" applyBorder="1" applyAlignment="1">
      <alignment horizontal="center"/>
    </xf>
    <xf numFmtId="175" fontId="0" fillId="5" borderId="105" xfId="0" applyNumberFormat="1" applyFill="1" applyBorder="1" applyAlignment="1">
      <alignment horizontal="center"/>
    </xf>
    <xf numFmtId="11" fontId="0" fillId="5" borderId="110" xfId="0" applyNumberFormat="1" applyFill="1" applyBorder="1" applyAlignment="1">
      <alignment horizontal="center"/>
    </xf>
    <xf numFmtId="11" fontId="0" fillId="22" borderId="101" xfId="0" applyNumberFormat="1" applyFill="1" applyBorder="1" applyAlignment="1">
      <alignment horizontal="center"/>
    </xf>
    <xf numFmtId="11" fontId="0" fillId="22" borderId="110" xfId="0" applyNumberFormat="1" applyFill="1" applyBorder="1" applyAlignment="1">
      <alignment horizontal="center"/>
    </xf>
    <xf numFmtId="0" fontId="0" fillId="22" borderId="102" xfId="0" applyFill="1" applyBorder="1" applyAlignment="1">
      <alignment horizontal="center"/>
    </xf>
    <xf numFmtId="167" fontId="0" fillId="10" borderId="29" xfId="0" applyNumberFormat="1" applyFill="1" applyBorder="1" applyAlignment="1">
      <alignment horizontal="center"/>
    </xf>
    <xf numFmtId="176" fontId="0" fillId="5" borderId="68" xfId="0" applyNumberFormat="1" applyFill="1" applyBorder="1" applyAlignment="1">
      <alignment horizontal="center"/>
    </xf>
    <xf numFmtId="174" fontId="0" fillId="10" borderId="71" xfId="0" applyNumberFormat="1" applyFill="1" applyBorder="1" applyAlignment="1">
      <alignment horizontal="center"/>
    </xf>
    <xf numFmtId="176" fontId="0" fillId="10" borderId="67" xfId="0" applyNumberFormat="1" applyFill="1" applyBorder="1" applyAlignment="1">
      <alignment horizontal="center"/>
    </xf>
    <xf numFmtId="174" fontId="0" fillId="10" borderId="67" xfId="0" applyNumberFormat="1" applyFill="1" applyBorder="1" applyAlignment="1">
      <alignment horizontal="center"/>
    </xf>
    <xf numFmtId="176" fontId="0" fillId="10" borderId="72" xfId="0" applyNumberFormat="1" applyFill="1" applyBorder="1" applyAlignment="1">
      <alignment horizontal="center"/>
    </xf>
    <xf numFmtId="0" fontId="0" fillId="3" borderId="73" xfId="0" applyFill="1" applyBorder="1" applyAlignment="1">
      <alignment horizontal="center"/>
    </xf>
    <xf numFmtId="11" fontId="0" fillId="7" borderId="32" xfId="0" applyNumberFormat="1" applyFill="1" applyBorder="1" applyAlignment="1">
      <alignment horizontal="center"/>
    </xf>
    <xf numFmtId="11" fontId="0" fillId="10" borderId="35" xfId="0" applyNumberFormat="1" applyFill="1" applyBorder="1" applyAlignment="1">
      <alignment horizontal="center"/>
    </xf>
    <xf numFmtId="11" fontId="0" fillId="2" borderId="45" xfId="0" applyNumberFormat="1" applyFill="1" applyBorder="1" applyAlignment="1">
      <alignment horizontal="center"/>
    </xf>
    <xf numFmtId="11" fontId="0" fillId="2" borderId="68" xfId="0" applyNumberFormat="1" applyFill="1" applyBorder="1" applyAlignment="1">
      <alignment horizontal="center"/>
    </xf>
    <xf numFmtId="11" fontId="0" fillId="2" borderId="46" xfId="0" applyNumberFormat="1" applyFill="1" applyBorder="1" applyAlignment="1">
      <alignment horizontal="center"/>
    </xf>
    <xf numFmtId="11" fontId="0" fillId="27" borderId="36" xfId="0" applyNumberFormat="1" applyFill="1" applyBorder="1" applyAlignment="1">
      <alignment horizontal="center"/>
    </xf>
    <xf numFmtId="11" fontId="0" fillId="29" borderId="32" xfId="0" applyNumberFormat="1" applyFill="1" applyBorder="1" applyAlignment="1">
      <alignment horizontal="center"/>
    </xf>
    <xf numFmtId="11" fontId="0" fillId="29" borderId="67" xfId="0" applyNumberFormat="1" applyFill="1" applyBorder="1" applyAlignment="1">
      <alignment horizontal="center"/>
    </xf>
    <xf numFmtId="11" fontId="0" fillId="29" borderId="35" xfId="0" applyNumberFormat="1" applyFill="1" applyBorder="1" applyAlignment="1">
      <alignment horizontal="center"/>
    </xf>
    <xf numFmtId="11" fontId="0" fillId="29" borderId="6" xfId="0" applyNumberFormat="1" applyFill="1" applyBorder="1" applyAlignment="1">
      <alignment horizontal="center"/>
    </xf>
    <xf numFmtId="11" fontId="0" fillId="29" borderId="72" xfId="0" applyNumberFormat="1" applyFill="1" applyBorder="1" applyAlignment="1">
      <alignment horizontal="center"/>
    </xf>
    <xf numFmtId="11" fontId="0" fillId="29" borderId="8" xfId="0" applyNumberFormat="1" applyFill="1" applyBorder="1" applyAlignment="1">
      <alignment horizontal="center"/>
    </xf>
    <xf numFmtId="1" fontId="0" fillId="22" borderId="0" xfId="0" applyNumberFormat="1" applyFill="1" applyBorder="1" applyAlignment="1">
      <alignment horizontal="center"/>
    </xf>
    <xf numFmtId="1" fontId="0" fillId="22" borderId="7" xfId="0" applyNumberFormat="1" applyFill="1" applyBorder="1" applyAlignment="1">
      <alignment horizontal="center"/>
    </xf>
    <xf numFmtId="11" fontId="0" fillId="7" borderId="70" xfId="0" applyNumberFormat="1" applyFill="1" applyBorder="1" applyAlignment="1">
      <alignment horizontal="center"/>
    </xf>
    <xf numFmtId="11" fontId="0" fillId="7" borderId="44" xfId="0" applyNumberFormat="1" applyFill="1" applyBorder="1" applyAlignment="1">
      <alignment horizontal="center"/>
    </xf>
    <xf numFmtId="11" fontId="0" fillId="7" borderId="46" xfId="0" applyNumberFormat="1" applyFill="1" applyBorder="1" applyAlignment="1">
      <alignment horizontal="center"/>
    </xf>
    <xf numFmtId="11" fontId="0" fillId="10" borderId="31" xfId="0" applyNumberFormat="1" applyFill="1" applyBorder="1" applyAlignment="1">
      <alignment horizontal="center"/>
    </xf>
    <xf numFmtId="170" fontId="0" fillId="7" borderId="37" xfId="0" applyNumberFormat="1" applyFill="1" applyBorder="1" applyAlignment="1">
      <alignment horizontal="center"/>
    </xf>
    <xf numFmtId="170" fontId="0" fillId="7" borderId="70" xfId="0" applyNumberFormat="1" applyFill="1" applyBorder="1" applyAlignment="1">
      <alignment horizontal="center"/>
    </xf>
    <xf numFmtId="172" fontId="0" fillId="5" borderId="33" xfId="0" applyNumberFormat="1" applyFill="1" applyBorder="1" applyAlignment="1">
      <alignment horizontal="center"/>
    </xf>
    <xf numFmtId="170" fontId="0" fillId="22" borderId="68" xfId="0" applyNumberFormat="1" applyFill="1" applyBorder="1" applyAlignment="1">
      <alignment horizontal="center"/>
    </xf>
    <xf numFmtId="170" fontId="0" fillId="7" borderId="29" xfId="0" applyNumberFormat="1" applyFill="1" applyBorder="1" applyAlignment="1">
      <alignment horizontal="center"/>
    </xf>
    <xf numFmtId="0" fontId="0" fillId="4" borderId="183" xfId="0" applyFill="1" applyBorder="1" applyAlignment="1">
      <alignment horizontal="center"/>
    </xf>
    <xf numFmtId="0" fontId="0" fillId="3" borderId="183" xfId="0" applyFill="1" applyBorder="1" applyAlignment="1">
      <alignment horizontal="center"/>
    </xf>
    <xf numFmtId="0" fontId="0" fillId="3" borderId="184" xfId="0" applyFill="1" applyBorder="1" applyAlignment="1">
      <alignment horizontal="center"/>
    </xf>
    <xf numFmtId="0" fontId="0" fillId="3" borderId="185" xfId="0" applyFill="1" applyBorder="1" applyAlignment="1">
      <alignment horizontal="center"/>
    </xf>
    <xf numFmtId="11" fontId="0" fillId="22" borderId="36" xfId="0" applyNumberFormat="1" applyFill="1" applyBorder="1" applyAlignment="1">
      <alignment horizontal="center"/>
    </xf>
    <xf numFmtId="2" fontId="0" fillId="29" borderId="67" xfId="0" applyNumberFormat="1" applyFill="1" applyBorder="1" applyAlignment="1">
      <alignment horizontal="center"/>
    </xf>
    <xf numFmtId="2" fontId="0" fillId="29" borderId="41" xfId="0" applyNumberFormat="1" applyFill="1" applyBorder="1" applyAlignment="1">
      <alignment horizontal="center"/>
    </xf>
    <xf numFmtId="169" fontId="0" fillId="29" borderId="69" xfId="0" applyNumberFormat="1" applyFill="1" applyBorder="1" applyAlignment="1">
      <alignment horizontal="center"/>
    </xf>
    <xf numFmtId="2" fontId="0" fillId="29" borderId="44" xfId="0" applyNumberFormat="1" applyFill="1" applyBorder="1" applyAlignment="1">
      <alignment horizontal="center"/>
    </xf>
    <xf numFmtId="175" fontId="0" fillId="29" borderId="1" xfId="0" applyNumberFormat="1" applyFill="1" applyBorder="1" applyAlignment="1">
      <alignment horizontal="center"/>
    </xf>
    <xf numFmtId="175" fontId="0" fillId="29" borderId="73" xfId="0" applyNumberFormat="1" applyFill="1" applyBorder="1" applyAlignment="1">
      <alignment horizontal="center"/>
    </xf>
    <xf numFmtId="175" fontId="0" fillId="29" borderId="3" xfId="0" applyNumberFormat="1" applyFill="1" applyBorder="1" applyAlignment="1">
      <alignment horizontal="center"/>
    </xf>
    <xf numFmtId="164" fontId="0" fillId="29" borderId="32" xfId="0" applyNumberFormat="1" applyFill="1" applyBorder="1" applyAlignment="1">
      <alignment horizontal="center"/>
    </xf>
    <xf numFmtId="2" fontId="0" fillId="29" borderId="35" xfId="0" applyNumberFormat="1" applyFill="1" applyBorder="1" applyAlignment="1">
      <alignment horizontal="center"/>
    </xf>
    <xf numFmtId="164" fontId="0" fillId="29" borderId="67" xfId="0" applyNumberFormat="1" applyFill="1" applyBorder="1" applyAlignment="1">
      <alignment horizontal="center"/>
    </xf>
    <xf numFmtId="171" fontId="0" fillId="29" borderId="32" xfId="0" applyNumberFormat="1" applyFill="1" applyBorder="1" applyAlignment="1">
      <alignment horizontal="center"/>
    </xf>
    <xf numFmtId="171" fontId="0" fillId="29" borderId="67" xfId="0" applyNumberFormat="1" applyFill="1" applyBorder="1" applyAlignment="1">
      <alignment horizontal="center"/>
    </xf>
    <xf numFmtId="171" fontId="0" fillId="29" borderId="35" xfId="0" applyNumberFormat="1" applyFill="1" applyBorder="1" applyAlignment="1">
      <alignment horizontal="center"/>
    </xf>
    <xf numFmtId="171" fontId="0" fillId="29" borderId="36" xfId="0" applyNumberFormat="1" applyFill="1" applyBorder="1" applyAlignment="1">
      <alignment horizontal="center"/>
    </xf>
    <xf numFmtId="171" fontId="0" fillId="29" borderId="70" xfId="0" applyNumberFormat="1" applyFill="1" applyBorder="1" applyAlignment="1">
      <alignment horizontal="center"/>
    </xf>
    <xf numFmtId="171" fontId="0" fillId="29" borderId="39" xfId="0" applyNumberFormat="1" applyFill="1" applyBorder="1" applyAlignment="1">
      <alignment horizontal="center"/>
    </xf>
    <xf numFmtId="0" fontId="0" fillId="29" borderId="104" xfId="0" applyFill="1" applyBorder="1" applyAlignment="1">
      <alignment horizontal="center"/>
    </xf>
    <xf numFmtId="175" fontId="0" fillId="29" borderId="0" xfId="0" applyNumberFormat="1" applyFill="1" applyBorder="1" applyAlignment="1">
      <alignment horizontal="center"/>
    </xf>
    <xf numFmtId="175" fontId="0" fillId="29" borderId="106" xfId="0" applyNumberFormat="1" applyFill="1" applyBorder="1" applyAlignment="1">
      <alignment horizontal="center"/>
    </xf>
    <xf numFmtId="0" fontId="0" fillId="29" borderId="111" xfId="0" applyFill="1" applyBorder="1" applyAlignment="1">
      <alignment horizontal="center"/>
    </xf>
    <xf numFmtId="175" fontId="0" fillId="29" borderId="37" xfId="0" applyNumberFormat="1" applyFill="1" applyBorder="1" applyAlignment="1">
      <alignment horizontal="center"/>
    </xf>
    <xf numFmtId="0" fontId="0" fillId="34" borderId="4" xfId="0" applyFill="1" applyBorder="1" applyAlignment="1">
      <alignment horizontal="center"/>
    </xf>
    <xf numFmtId="0" fontId="0" fillId="34" borderId="104" xfId="0" applyFill="1" applyBorder="1" applyAlignment="1">
      <alignment horizontal="center"/>
    </xf>
    <xf numFmtId="0" fontId="0" fillId="34" borderId="122" xfId="0" applyFill="1" applyBorder="1" applyAlignment="1">
      <alignment horizontal="center"/>
    </xf>
    <xf numFmtId="0" fontId="0" fillId="34" borderId="121" xfId="0" applyFill="1" applyBorder="1" applyAlignment="1">
      <alignment horizontal="center"/>
    </xf>
    <xf numFmtId="175" fontId="0" fillId="34" borderId="0" xfId="0" applyNumberFormat="1" applyFill="1" applyBorder="1" applyAlignment="1">
      <alignment horizontal="center"/>
    </xf>
    <xf numFmtId="175" fontId="0" fillId="34" borderId="106" xfId="0" applyNumberFormat="1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111" xfId="0" applyFill="1" applyBorder="1" applyAlignment="1">
      <alignment horizontal="center"/>
    </xf>
    <xf numFmtId="0" fontId="0" fillId="34" borderId="116" xfId="0" applyFill="1" applyBorder="1" applyAlignment="1">
      <alignment horizontal="center"/>
    </xf>
    <xf numFmtId="0" fontId="0" fillId="34" borderId="112" xfId="0" applyFill="1" applyBorder="1" applyAlignment="1">
      <alignment horizontal="center"/>
    </xf>
    <xf numFmtId="175" fontId="0" fillId="34" borderId="37" xfId="0" applyNumberFormat="1" applyFill="1" applyBorder="1" applyAlignment="1">
      <alignment horizontal="center"/>
    </xf>
    <xf numFmtId="175" fontId="0" fillId="34" borderId="112" xfId="0" applyNumberForma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57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1" fontId="0" fillId="34" borderId="28" xfId="0" applyNumberFormat="1" applyFill="1" applyBorder="1" applyAlignment="1">
      <alignment horizontal="center"/>
    </xf>
    <xf numFmtId="0" fontId="0" fillId="34" borderId="182" xfId="0" applyFill="1" applyBorder="1" applyAlignment="1">
      <alignment horizontal="center"/>
    </xf>
    <xf numFmtId="0" fontId="0" fillId="34" borderId="71" xfId="0" applyFill="1" applyBorder="1" applyAlignment="1">
      <alignment horizontal="center"/>
    </xf>
    <xf numFmtId="11" fontId="0" fillId="34" borderId="71" xfId="0" applyNumberFormat="1" applyFill="1" applyBorder="1" applyAlignment="1">
      <alignment horizontal="center"/>
    </xf>
    <xf numFmtId="175" fontId="0" fillId="34" borderId="28" xfId="0" applyNumberFormat="1" applyFill="1" applyBorder="1" applyAlignment="1">
      <alignment horizontal="center"/>
    </xf>
    <xf numFmtId="175" fontId="0" fillId="34" borderId="71" xfId="0" applyNumberFormat="1" applyFill="1" applyBorder="1" applyAlignment="1">
      <alignment horizontal="center"/>
    </xf>
    <xf numFmtId="175" fontId="0" fillId="34" borderId="31" xfId="0" applyNumberFormat="1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1" fontId="0" fillId="34" borderId="32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101" xfId="0" applyFill="1" applyBorder="1" applyAlignment="1">
      <alignment horizontal="center"/>
    </xf>
    <xf numFmtId="0" fontId="0" fillId="34" borderId="67" xfId="0" applyFill="1" applyBorder="1" applyAlignment="1">
      <alignment horizontal="center"/>
    </xf>
    <xf numFmtId="175" fontId="0" fillId="34" borderId="32" xfId="0" applyNumberFormat="1" applyFill="1" applyBorder="1" applyAlignment="1">
      <alignment horizontal="center"/>
    </xf>
    <xf numFmtId="175" fontId="0" fillId="34" borderId="67" xfId="0" applyNumberFormat="1" applyFill="1" applyBorder="1" applyAlignment="1">
      <alignment horizontal="center"/>
    </xf>
    <xf numFmtId="175" fontId="0" fillId="34" borderId="35" xfId="0" applyNumberFormat="1" applyFill="1" applyBorder="1" applyAlignment="1">
      <alignment horizontal="center"/>
    </xf>
    <xf numFmtId="11" fontId="0" fillId="34" borderId="33" xfId="0" applyNumberFormat="1" applyFill="1" applyBorder="1" applyAlignment="1">
      <alignment horizontal="center"/>
    </xf>
    <xf numFmtId="11" fontId="0" fillId="34" borderId="67" xfId="0" applyNumberFormat="1" applyFill="1" applyBorder="1" applyAlignment="1">
      <alignment horizontal="center"/>
    </xf>
    <xf numFmtId="1" fontId="0" fillId="34" borderId="36" xfId="0" applyNumberFormat="1" applyFill="1" applyBorder="1" applyAlignment="1">
      <alignment horizontal="center"/>
    </xf>
    <xf numFmtId="0" fontId="0" fillId="34" borderId="102" xfId="0" applyFill="1" applyBorder="1" applyAlignment="1">
      <alignment horizontal="center"/>
    </xf>
    <xf numFmtId="0" fontId="0" fillId="34" borderId="70" xfId="0" applyFill="1" applyBorder="1" applyAlignment="1">
      <alignment horizontal="center"/>
    </xf>
    <xf numFmtId="175" fontId="0" fillId="34" borderId="36" xfId="0" applyNumberFormat="1" applyFill="1" applyBorder="1" applyAlignment="1">
      <alignment horizontal="center"/>
    </xf>
    <xf numFmtId="175" fontId="0" fillId="34" borderId="70" xfId="0" applyNumberFormat="1" applyFill="1" applyBorder="1" applyAlignment="1">
      <alignment horizontal="center"/>
    </xf>
    <xf numFmtId="175" fontId="0" fillId="34" borderId="39" xfId="0" applyNumberFormat="1" applyFill="1" applyBorder="1" applyAlignment="1">
      <alignment horizontal="center"/>
    </xf>
    <xf numFmtId="0" fontId="0" fillId="34" borderId="123" xfId="0" applyFill="1" applyBorder="1" applyAlignment="1">
      <alignment horizontal="center"/>
    </xf>
    <xf numFmtId="0" fontId="0" fillId="34" borderId="109" xfId="0" applyFill="1" applyBorder="1" applyAlignment="1">
      <alignment horizontal="center"/>
    </xf>
    <xf numFmtId="171" fontId="0" fillId="22" borderId="42" xfId="0" applyNumberFormat="1" applyFill="1" applyBorder="1" applyAlignment="1">
      <alignment horizontal="center"/>
    </xf>
    <xf numFmtId="171" fontId="0" fillId="22" borderId="51" xfId="0" applyNumberFormat="1" applyFill="1" applyBorder="1" applyAlignment="1">
      <alignment horizontal="center"/>
    </xf>
    <xf numFmtId="171" fontId="0" fillId="22" borderId="49" xfId="0" applyNumberFormat="1" applyFill="1" applyBorder="1" applyAlignment="1">
      <alignment horizontal="center"/>
    </xf>
    <xf numFmtId="171" fontId="0" fillId="22" borderId="40" xfId="0" applyNumberFormat="1" applyFill="1" applyBorder="1" applyAlignment="1">
      <alignment horizontal="center"/>
    </xf>
    <xf numFmtId="171" fontId="0" fillId="22" borderId="47" xfId="0" applyNumberFormat="1" applyFill="1" applyBorder="1" applyAlignment="1">
      <alignment horizontal="center"/>
    </xf>
    <xf numFmtId="167" fontId="0" fillId="7" borderId="49" xfId="0" applyNumberFormat="1" applyFill="1" applyBorder="1" applyAlignment="1">
      <alignment horizontal="center"/>
    </xf>
    <xf numFmtId="167" fontId="0" fillId="7" borderId="50" xfId="0" applyNumberFormat="1" applyFill="1" applyBorder="1" applyAlignment="1">
      <alignment horizontal="center"/>
    </xf>
    <xf numFmtId="167" fontId="0" fillId="10" borderId="51" xfId="0" applyNumberFormat="1" applyFill="1" applyBorder="1" applyAlignment="1">
      <alignment horizontal="center"/>
    </xf>
    <xf numFmtId="167" fontId="0" fillId="10" borderId="69" xfId="0" applyNumberFormat="1" applyFill="1" applyBorder="1" applyAlignment="1">
      <alignment horizontal="center"/>
    </xf>
    <xf numFmtId="171" fontId="0" fillId="29" borderId="68" xfId="0" applyNumberFormat="1" applyFill="1" applyBorder="1" applyAlignment="1">
      <alignment horizontal="center"/>
    </xf>
    <xf numFmtId="170" fontId="0" fillId="29" borderId="69" xfId="0" applyNumberFormat="1" applyFill="1" applyBorder="1" applyAlignment="1">
      <alignment horizontal="center"/>
    </xf>
    <xf numFmtId="186" fontId="7" fillId="23" borderId="154" xfId="1" applyNumberFormat="1" applyFill="1" applyBorder="1" applyAlignment="1">
      <alignment horizontal="center"/>
    </xf>
    <xf numFmtId="186" fontId="7" fillId="23" borderId="142" xfId="1" applyNumberFormat="1" applyFill="1" applyBorder="1" applyAlignment="1">
      <alignment horizontal="center"/>
    </xf>
    <xf numFmtId="186" fontId="7" fillId="23" borderId="155" xfId="1" applyNumberFormat="1" applyFill="1" applyBorder="1" applyAlignment="1">
      <alignment horizontal="center"/>
    </xf>
    <xf numFmtId="187" fontId="7" fillId="23" borderId="154" xfId="1" applyNumberFormat="1" applyFill="1" applyBorder="1" applyAlignment="1">
      <alignment horizontal="center"/>
    </xf>
    <xf numFmtId="187" fontId="7" fillId="23" borderId="142" xfId="1" applyNumberFormat="1" applyFill="1" applyBorder="1" applyAlignment="1">
      <alignment horizontal="center"/>
    </xf>
    <xf numFmtId="187" fontId="7" fillId="23" borderId="155" xfId="1" applyNumberFormat="1" applyFill="1" applyBorder="1" applyAlignment="1">
      <alignment horizontal="center"/>
    </xf>
    <xf numFmtId="186" fontId="7" fillId="20" borderId="154" xfId="1" applyNumberFormat="1" applyFill="1" applyBorder="1" applyAlignment="1">
      <alignment horizontal="center"/>
    </xf>
    <xf numFmtId="186" fontId="7" fillId="20" borderId="142" xfId="1" applyNumberFormat="1" applyFill="1" applyBorder="1" applyAlignment="1">
      <alignment horizontal="center"/>
    </xf>
    <xf numFmtId="186" fontId="7" fillId="20" borderId="155" xfId="1" applyNumberFormat="1" applyFill="1" applyBorder="1" applyAlignment="1">
      <alignment horizontal="center"/>
    </xf>
    <xf numFmtId="186" fontId="7" fillId="20" borderId="145" xfId="1" applyNumberFormat="1" applyFill="1" applyBorder="1" applyAlignment="1">
      <alignment horizontal="center"/>
    </xf>
    <xf numFmtId="186" fontId="7" fillId="20" borderId="147" xfId="1" applyNumberFormat="1" applyFill="1" applyBorder="1" applyAlignment="1">
      <alignment horizontal="center"/>
    </xf>
    <xf numFmtId="186" fontId="7" fillId="23" borderId="141" xfId="1" applyNumberFormat="1" applyFill="1" applyBorder="1" applyAlignment="1">
      <alignment horizontal="center"/>
    </xf>
    <xf numFmtId="186" fontId="7" fillId="13" borderId="154" xfId="1" applyNumberFormat="1" applyFill="1" applyBorder="1" applyAlignment="1">
      <alignment horizontal="center"/>
    </xf>
    <xf numFmtId="186" fontId="7" fillId="13" borderId="142" xfId="1" applyNumberFormat="1" applyFill="1" applyBorder="1" applyAlignment="1">
      <alignment horizontal="center"/>
    </xf>
    <xf numFmtId="186" fontId="7" fillId="13" borderId="155" xfId="1" applyNumberFormat="1" applyFill="1" applyBorder="1" applyAlignment="1">
      <alignment horizontal="center"/>
    </xf>
    <xf numFmtId="186" fontId="7" fillId="15" borderId="154" xfId="1" applyNumberFormat="1" applyFill="1" applyBorder="1" applyAlignment="1">
      <alignment horizontal="center"/>
    </xf>
    <xf numFmtId="186" fontId="7" fillId="15" borderId="142" xfId="1" applyNumberFormat="1" applyFill="1" applyBorder="1" applyAlignment="1">
      <alignment horizontal="center"/>
    </xf>
    <xf numFmtId="186" fontId="7" fillId="15" borderId="155" xfId="1" applyNumberFormat="1" applyFill="1" applyBorder="1" applyAlignment="1">
      <alignment horizontal="center"/>
    </xf>
    <xf numFmtId="189" fontId="7" fillId="20" borderId="142" xfId="1" applyNumberFormat="1" applyFill="1" applyBorder="1" applyAlignment="1">
      <alignment horizontal="center"/>
    </xf>
    <xf numFmtId="184" fontId="7" fillId="12" borderId="103" xfId="1" applyNumberFormat="1" applyFill="1" applyBorder="1" applyAlignment="1">
      <alignment horizontal="center"/>
    </xf>
    <xf numFmtId="185" fontId="7" fillId="11" borderId="103" xfId="1" applyNumberFormat="1" applyFill="1" applyBorder="1" applyAlignment="1">
      <alignment horizontal="center"/>
    </xf>
    <xf numFmtId="185" fontId="7" fillId="12" borderId="63" xfId="1" applyNumberFormat="1" applyFill="1" applyBorder="1" applyAlignment="1">
      <alignment horizontal="center"/>
    </xf>
    <xf numFmtId="185" fontId="7" fillId="12" borderId="103" xfId="1" applyNumberFormat="1" applyFill="1" applyBorder="1" applyAlignment="1">
      <alignment horizontal="center"/>
    </xf>
    <xf numFmtId="185" fontId="7" fillId="14" borderId="103" xfId="1" applyNumberFormat="1" applyFill="1" applyBorder="1" applyAlignment="1">
      <alignment horizontal="center"/>
    </xf>
    <xf numFmtId="189" fontId="7" fillId="11" borderId="63" xfId="1" applyNumberFormat="1" applyFill="1" applyBorder="1" applyAlignment="1">
      <alignment horizontal="center"/>
    </xf>
    <xf numFmtId="189" fontId="7" fillId="11" borderId="103" xfId="1" applyNumberFormat="1" applyFill="1" applyBorder="1" applyAlignment="1">
      <alignment horizontal="center"/>
    </xf>
    <xf numFmtId="189" fontId="7" fillId="11" borderId="65" xfId="1" applyNumberFormat="1" applyFill="1" applyBorder="1" applyAlignment="1">
      <alignment horizontal="center"/>
    </xf>
    <xf numFmtId="189" fontId="7" fillId="12" borderId="65" xfId="1" applyNumberFormat="1" applyFill="1" applyBorder="1" applyAlignment="1">
      <alignment horizontal="center"/>
    </xf>
    <xf numFmtId="189" fontId="7" fillId="14" borderId="63" xfId="1" applyNumberFormat="1" applyFill="1" applyBorder="1" applyAlignment="1">
      <alignment horizontal="center"/>
    </xf>
    <xf numFmtId="189" fontId="7" fillId="14" borderId="103" xfId="1" applyNumberFormat="1" applyFill="1" applyBorder="1" applyAlignment="1">
      <alignment horizontal="center"/>
    </xf>
    <xf numFmtId="189" fontId="7" fillId="14" borderId="65" xfId="1" applyNumberFormat="1" applyFill="1" applyBorder="1" applyAlignment="1">
      <alignment horizontal="center"/>
    </xf>
    <xf numFmtId="184" fontId="7" fillId="28" borderId="103" xfId="1" applyNumberFormat="1" applyFill="1" applyBorder="1" applyAlignment="1">
      <alignment horizontal="center"/>
    </xf>
    <xf numFmtId="184" fontId="7" fillId="31" borderId="63" xfId="1" applyNumberFormat="1" applyFill="1" applyBorder="1" applyAlignment="1">
      <alignment horizontal="center"/>
    </xf>
    <xf numFmtId="184" fontId="7" fillId="31" borderId="103" xfId="1" applyNumberFormat="1" applyFill="1" applyBorder="1" applyAlignment="1">
      <alignment horizontal="center"/>
    </xf>
    <xf numFmtId="184" fontId="7" fillId="31" borderId="65" xfId="1" applyNumberFormat="1" applyFill="1" applyBorder="1" applyAlignment="1">
      <alignment horizontal="center"/>
    </xf>
    <xf numFmtId="184" fontId="7" fillId="16" borderId="63" xfId="1" applyNumberFormat="1" applyFill="1" applyBorder="1" applyAlignment="1">
      <alignment horizontal="center"/>
    </xf>
    <xf numFmtId="184" fontId="7" fillId="16" borderId="103" xfId="1" applyNumberFormat="1" applyFill="1" applyBorder="1" applyAlignment="1">
      <alignment horizontal="center"/>
    </xf>
    <xf numFmtId="188" fontId="7" fillId="28" borderId="63" xfId="1" applyNumberFormat="1" applyFill="1" applyBorder="1" applyAlignment="1">
      <alignment horizontal="center"/>
    </xf>
    <xf numFmtId="188" fontId="7" fillId="28" borderId="103" xfId="1" applyNumberFormat="1" applyFill="1" applyBorder="1" applyAlignment="1">
      <alignment horizontal="center"/>
    </xf>
    <xf numFmtId="188" fontId="7" fillId="28" borderId="65" xfId="1" applyNumberFormat="1" applyFill="1" applyBorder="1" applyAlignment="1">
      <alignment horizontal="center"/>
    </xf>
    <xf numFmtId="188" fontId="7" fillId="16" borderId="65" xfId="1" applyNumberFormat="1" applyFill="1" applyBorder="1" applyAlignment="1">
      <alignment horizontal="center"/>
    </xf>
    <xf numFmtId="190" fontId="7" fillId="32" borderId="63" xfId="1" applyNumberFormat="1" applyFill="1" applyBorder="1" applyAlignment="1">
      <alignment horizontal="center"/>
    </xf>
    <xf numFmtId="190" fontId="7" fillId="32" borderId="103" xfId="1" applyNumberFormat="1" applyFill="1" applyBorder="1" applyAlignment="1">
      <alignment horizontal="center"/>
    </xf>
    <xf numFmtId="190" fontId="7" fillId="32" borderId="65" xfId="1" applyNumberFormat="1" applyFill="1" applyBorder="1" applyAlignment="1">
      <alignment horizontal="center"/>
    </xf>
    <xf numFmtId="176" fontId="0" fillId="19" borderId="63" xfId="0" applyNumberFormat="1" applyFill="1" applyBorder="1" applyAlignment="1">
      <alignment horizontal="center"/>
    </xf>
    <xf numFmtId="176" fontId="0" fillId="19" borderId="103" xfId="0" applyNumberFormat="1" applyFill="1" applyBorder="1" applyAlignment="1">
      <alignment horizontal="center"/>
    </xf>
    <xf numFmtId="176" fontId="0" fillId="19" borderId="65" xfId="0" applyNumberFormat="1" applyFill="1" applyBorder="1" applyAlignment="1">
      <alignment horizontal="center"/>
    </xf>
    <xf numFmtId="185" fontId="7" fillId="11" borderId="4" xfId="1" applyNumberFormat="1" applyFill="1" applyBorder="1" applyAlignment="1">
      <alignment horizontal="center"/>
    </xf>
    <xf numFmtId="185" fontId="7" fillId="11" borderId="75" xfId="1" applyNumberFormat="1" applyFill="1" applyBorder="1" applyAlignment="1">
      <alignment horizontal="center"/>
    </xf>
    <xf numFmtId="185" fontId="7" fillId="12" borderId="32" xfId="1" applyNumberFormat="1" applyFill="1" applyBorder="1" applyAlignment="1">
      <alignment horizontal="center"/>
    </xf>
    <xf numFmtId="185" fontId="7" fillId="12" borderId="67" xfId="1" applyNumberFormat="1" applyFill="1" applyBorder="1" applyAlignment="1">
      <alignment horizontal="center"/>
    </xf>
    <xf numFmtId="185" fontId="7" fillId="14" borderId="32" xfId="1" applyNumberFormat="1" applyFill="1" applyBorder="1" applyAlignment="1">
      <alignment horizontal="center"/>
    </xf>
    <xf numFmtId="185" fontId="7" fillId="14" borderId="67" xfId="1" applyNumberFormat="1" applyFill="1" applyBorder="1" applyAlignment="1">
      <alignment horizontal="center"/>
    </xf>
    <xf numFmtId="185" fontId="7" fillId="16" borderId="72" xfId="1" applyNumberFormat="1" applyFill="1" applyBorder="1" applyAlignment="1">
      <alignment horizontal="center"/>
    </xf>
    <xf numFmtId="169" fontId="7" fillId="24" borderId="162" xfId="1" applyNumberFormat="1" applyFill="1" applyBorder="1" applyAlignment="1">
      <alignment horizontal="center"/>
    </xf>
    <xf numFmtId="169" fontId="7" fillId="24" borderId="67" xfId="1" applyNumberFormat="1" applyFill="1" applyBorder="1" applyAlignment="1">
      <alignment horizontal="center"/>
    </xf>
    <xf numFmtId="169" fontId="7" fillId="24" borderId="163" xfId="1" applyNumberFormat="1" applyFill="1" applyBorder="1" applyAlignment="1">
      <alignment horizontal="center"/>
    </xf>
    <xf numFmtId="0" fontId="0" fillId="27" borderId="104" xfId="0" applyFill="1" applyBorder="1" applyAlignment="1">
      <alignment horizontal="center"/>
    </xf>
    <xf numFmtId="175" fontId="0" fillId="27" borderId="0" xfId="0" applyNumberFormat="1" applyFill="1" applyBorder="1" applyAlignment="1">
      <alignment horizontal="center"/>
    </xf>
    <xf numFmtId="175" fontId="0" fillId="27" borderId="106" xfId="0" applyNumberFormat="1" applyFill="1" applyBorder="1" applyAlignment="1">
      <alignment horizontal="center"/>
    </xf>
    <xf numFmtId="0" fontId="0" fillId="27" borderId="111" xfId="0" applyFill="1" applyBorder="1" applyAlignment="1">
      <alignment horizontal="center"/>
    </xf>
    <xf numFmtId="175" fontId="0" fillId="27" borderId="37" xfId="0" applyNumberFormat="1" applyFill="1" applyBorder="1" applyAlignment="1">
      <alignment horizontal="center"/>
    </xf>
    <xf numFmtId="175" fontId="0" fillId="27" borderId="112" xfId="0" applyNumberFormat="1" applyFill="1" applyBorder="1" applyAlignment="1">
      <alignment horizontal="center"/>
    </xf>
    <xf numFmtId="0" fontId="0" fillId="10" borderId="104" xfId="0" applyFill="1" applyBorder="1" applyAlignment="1">
      <alignment horizontal="center"/>
    </xf>
    <xf numFmtId="175" fontId="0" fillId="10" borderId="0" xfId="0" applyNumberFormat="1" applyFill="1" applyBorder="1" applyAlignment="1">
      <alignment horizontal="center"/>
    </xf>
    <xf numFmtId="175" fontId="0" fillId="10" borderId="106" xfId="0" applyNumberFormat="1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5" borderId="4" xfId="0" applyFill="1" applyBorder="1" applyAlignment="1">
      <alignment horizontal="center"/>
    </xf>
    <xf numFmtId="0" fontId="0" fillId="35" borderId="104" xfId="0" applyFill="1" applyBorder="1" applyAlignment="1">
      <alignment horizontal="center"/>
    </xf>
    <xf numFmtId="0" fontId="0" fillId="35" borderId="122" xfId="0" applyFill="1" applyBorder="1" applyAlignment="1">
      <alignment horizontal="center"/>
    </xf>
    <xf numFmtId="0" fontId="0" fillId="35" borderId="121" xfId="0" applyFill="1" applyBorder="1" applyAlignment="1">
      <alignment horizontal="center"/>
    </xf>
    <xf numFmtId="175" fontId="0" fillId="35" borderId="0" xfId="0" applyNumberFormat="1" applyFill="1" applyBorder="1" applyAlignment="1">
      <alignment horizontal="center"/>
    </xf>
    <xf numFmtId="175" fontId="0" fillId="35" borderId="106" xfId="0" applyNumberFormat="1" applyFill="1" applyBorder="1" applyAlignment="1">
      <alignment horizontal="center"/>
    </xf>
    <xf numFmtId="0" fontId="0" fillId="35" borderId="45" xfId="0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35" borderId="111" xfId="0" applyFill="1" applyBorder="1" applyAlignment="1">
      <alignment horizontal="center"/>
    </xf>
    <xf numFmtId="0" fontId="0" fillId="35" borderId="116" xfId="0" applyFill="1" applyBorder="1" applyAlignment="1">
      <alignment horizontal="center"/>
    </xf>
    <xf numFmtId="0" fontId="0" fillId="35" borderId="112" xfId="0" applyFill="1" applyBorder="1" applyAlignment="1">
      <alignment horizontal="center"/>
    </xf>
    <xf numFmtId="175" fontId="0" fillId="35" borderId="37" xfId="0" applyNumberFormat="1" applyFill="1" applyBorder="1" applyAlignment="1">
      <alignment horizontal="center"/>
    </xf>
    <xf numFmtId="175" fontId="0" fillId="35" borderId="112" xfId="0" applyNumberFormat="1" applyFill="1" applyBorder="1" applyAlignment="1">
      <alignment horizontal="center"/>
    </xf>
    <xf numFmtId="0" fontId="0" fillId="36" borderId="41" xfId="0" applyFill="1" applyBorder="1" applyAlignment="1">
      <alignment horizontal="center"/>
    </xf>
    <xf numFmtId="0" fontId="0" fillId="36" borderId="58" xfId="0" applyFill="1" applyBorder="1" applyAlignment="1">
      <alignment horizontal="center"/>
    </xf>
    <xf numFmtId="0" fontId="0" fillId="36" borderId="42" xfId="0" applyFill="1" applyBorder="1" applyAlignment="1">
      <alignment horizontal="center"/>
    </xf>
    <xf numFmtId="0" fontId="0" fillId="36" borderId="44" xfId="0" applyFill="1" applyBorder="1" applyAlignment="1">
      <alignment horizontal="center"/>
    </xf>
    <xf numFmtId="0" fontId="0" fillId="36" borderId="4" xfId="0" applyFill="1" applyBorder="1" applyAlignment="1">
      <alignment horizontal="center"/>
    </xf>
    <xf numFmtId="0" fontId="0" fillId="36" borderId="46" xfId="0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0" fillId="19" borderId="4" xfId="0" applyFill="1" applyBorder="1" applyAlignment="1">
      <alignment horizontal="center"/>
    </xf>
    <xf numFmtId="0" fontId="0" fillId="19" borderId="104" xfId="0" applyFill="1" applyBorder="1" applyAlignment="1">
      <alignment horizontal="center"/>
    </xf>
    <xf numFmtId="175" fontId="0" fillId="19" borderId="0" xfId="0" applyNumberFormat="1" applyFill="1" applyBorder="1" applyAlignment="1">
      <alignment horizontal="center"/>
    </xf>
    <xf numFmtId="175" fontId="0" fillId="19" borderId="106" xfId="0" applyNumberFormat="1" applyFill="1" applyBorder="1" applyAlignment="1">
      <alignment horizontal="center"/>
    </xf>
    <xf numFmtId="0" fontId="0" fillId="19" borderId="111" xfId="0" applyFill="1" applyBorder="1" applyAlignment="1">
      <alignment horizontal="center"/>
    </xf>
    <xf numFmtId="175" fontId="0" fillId="19" borderId="37" xfId="0" applyNumberFormat="1" applyFill="1" applyBorder="1" applyAlignment="1">
      <alignment horizontal="center"/>
    </xf>
    <xf numFmtId="175" fontId="0" fillId="19" borderId="112" xfId="0" applyNumberFormat="1" applyFill="1" applyBorder="1" applyAlignment="1">
      <alignment horizontal="center"/>
    </xf>
    <xf numFmtId="170" fontId="0" fillId="10" borderId="35" xfId="0" applyNumberFormat="1" applyFill="1" applyBorder="1" applyAlignment="1">
      <alignment horizontal="center"/>
    </xf>
    <xf numFmtId="172" fontId="0" fillId="27" borderId="35" xfId="0" applyNumberFormat="1" applyFill="1" applyBorder="1" applyAlignment="1">
      <alignment horizontal="center"/>
    </xf>
    <xf numFmtId="174" fontId="0" fillId="27" borderId="32" xfId="0" applyNumberFormat="1" applyFill="1" applyBorder="1" applyAlignment="1">
      <alignment horizontal="center"/>
    </xf>
    <xf numFmtId="174" fontId="0" fillId="27" borderId="67" xfId="0" applyNumberFormat="1" applyFill="1" applyBorder="1" applyAlignment="1">
      <alignment horizontal="center"/>
    </xf>
    <xf numFmtId="176" fontId="0" fillId="29" borderId="41" xfId="0" applyNumberFormat="1" applyFill="1" applyBorder="1" applyAlignment="1">
      <alignment horizontal="center"/>
    </xf>
    <xf numFmtId="176" fontId="0" fillId="29" borderId="69" xfId="0" applyNumberFormat="1" applyFill="1" applyBorder="1" applyAlignment="1">
      <alignment horizontal="center"/>
    </xf>
    <xf numFmtId="176" fontId="0" fillId="29" borderId="44" xfId="0" applyNumberFormat="1" applyFill="1" applyBorder="1" applyAlignment="1">
      <alignment horizontal="center"/>
    </xf>
    <xf numFmtId="176" fontId="0" fillId="29" borderId="32" xfId="0" applyNumberFormat="1" applyFill="1" applyBorder="1" applyAlignment="1">
      <alignment horizontal="center"/>
    </xf>
    <xf numFmtId="176" fontId="0" fillId="29" borderId="67" xfId="0" applyNumberFormat="1" applyFill="1" applyBorder="1" applyAlignment="1">
      <alignment horizontal="center"/>
    </xf>
    <xf numFmtId="176" fontId="0" fillId="29" borderId="35" xfId="0" applyNumberFormat="1" applyFill="1" applyBorder="1" applyAlignment="1">
      <alignment horizontal="center"/>
    </xf>
    <xf numFmtId="176" fontId="0" fillId="29" borderId="6" xfId="0" applyNumberFormat="1" applyFill="1" applyBorder="1" applyAlignment="1">
      <alignment horizontal="center"/>
    </xf>
    <xf numFmtId="176" fontId="0" fillId="29" borderId="72" xfId="0" applyNumberFormat="1" applyFill="1" applyBorder="1" applyAlignment="1">
      <alignment horizontal="center"/>
    </xf>
    <xf numFmtId="176" fontId="0" fillId="29" borderId="8" xfId="0" applyNumberFormat="1" applyFill="1" applyBorder="1" applyAlignment="1">
      <alignment horizontal="center"/>
    </xf>
    <xf numFmtId="180" fontId="0" fillId="5" borderId="45" xfId="0" applyNumberFormat="1" applyFill="1" applyBorder="1" applyAlignment="1">
      <alignment horizontal="center"/>
    </xf>
    <xf numFmtId="180" fontId="0" fillId="5" borderId="68" xfId="0" applyNumberFormat="1" applyFill="1" applyBorder="1" applyAlignment="1">
      <alignment horizontal="center"/>
    </xf>
    <xf numFmtId="180" fontId="0" fillId="5" borderId="46" xfId="0" applyNumberFormat="1" applyFill="1" applyBorder="1" applyAlignment="1">
      <alignment horizontal="center"/>
    </xf>
    <xf numFmtId="180" fontId="0" fillId="22" borderId="28" xfId="0" applyNumberFormat="1" applyFill="1" applyBorder="1" applyAlignment="1">
      <alignment horizontal="center"/>
    </xf>
    <xf numFmtId="180" fontId="0" fillId="22" borderId="71" xfId="0" applyNumberFormat="1" applyFill="1" applyBorder="1" applyAlignment="1">
      <alignment horizontal="center"/>
    </xf>
    <xf numFmtId="180" fontId="0" fillId="22" borderId="31" xfId="0" applyNumberFormat="1" applyFill="1" applyBorder="1" applyAlignment="1">
      <alignment horizontal="center"/>
    </xf>
    <xf numFmtId="180" fontId="0" fillId="22" borderId="36" xfId="0" applyNumberFormat="1" applyFill="1" applyBorder="1" applyAlignment="1">
      <alignment horizontal="center"/>
    </xf>
    <xf numFmtId="180" fontId="0" fillId="22" borderId="70" xfId="0" applyNumberFormat="1" applyFill="1" applyBorder="1" applyAlignment="1">
      <alignment horizontal="center"/>
    </xf>
    <xf numFmtId="180" fontId="0" fillId="22" borderId="39" xfId="0" applyNumberFormat="1" applyFill="1" applyBorder="1" applyAlignment="1">
      <alignment horizontal="center"/>
    </xf>
    <xf numFmtId="180" fontId="0" fillId="7" borderId="41" xfId="0" applyNumberFormat="1" applyFill="1" applyBorder="1" applyAlignment="1">
      <alignment horizontal="center"/>
    </xf>
    <xf numFmtId="180" fontId="0" fillId="7" borderId="69" xfId="0" applyNumberFormat="1" applyFill="1" applyBorder="1" applyAlignment="1">
      <alignment horizontal="center"/>
    </xf>
    <xf numFmtId="180" fontId="0" fillId="7" borderId="44" xfId="0" applyNumberFormat="1" applyFill="1" applyBorder="1" applyAlignment="1">
      <alignment horizontal="center"/>
    </xf>
    <xf numFmtId="180" fontId="0" fillId="7" borderId="45" xfId="0" applyNumberFormat="1" applyFill="1" applyBorder="1" applyAlignment="1">
      <alignment horizontal="center"/>
    </xf>
    <xf numFmtId="180" fontId="0" fillId="7" borderId="68" xfId="0" applyNumberFormat="1" applyFill="1" applyBorder="1" applyAlignment="1">
      <alignment horizontal="center"/>
    </xf>
    <xf numFmtId="180" fontId="0" fillId="7" borderId="46" xfId="0" applyNumberFormat="1" applyFill="1" applyBorder="1" applyAlignment="1">
      <alignment horizontal="center"/>
    </xf>
    <xf numFmtId="180" fontId="0" fillId="10" borderId="28" xfId="0" applyNumberFormat="1" applyFill="1" applyBorder="1" applyAlignment="1">
      <alignment horizontal="center"/>
    </xf>
    <xf numFmtId="180" fontId="0" fillId="10" borderId="71" xfId="0" applyNumberFormat="1" applyFill="1" applyBorder="1" applyAlignment="1">
      <alignment horizontal="center"/>
    </xf>
    <xf numFmtId="180" fontId="0" fillId="10" borderId="31" xfId="0" applyNumberFormat="1" applyFill="1" applyBorder="1" applyAlignment="1">
      <alignment horizontal="center"/>
    </xf>
    <xf numFmtId="180" fontId="0" fillId="10" borderId="36" xfId="0" applyNumberFormat="1" applyFill="1" applyBorder="1" applyAlignment="1">
      <alignment horizontal="center"/>
    </xf>
    <xf numFmtId="180" fontId="0" fillId="10" borderId="70" xfId="0" applyNumberFormat="1" applyFill="1" applyBorder="1" applyAlignment="1">
      <alignment horizontal="center"/>
    </xf>
    <xf numFmtId="180" fontId="0" fillId="10" borderId="39" xfId="0" applyNumberFormat="1" applyFill="1" applyBorder="1" applyAlignment="1">
      <alignment horizontal="center"/>
    </xf>
    <xf numFmtId="180" fontId="0" fillId="2" borderId="41" xfId="0" applyNumberFormat="1" applyFill="1" applyBorder="1" applyAlignment="1">
      <alignment horizontal="center"/>
    </xf>
    <xf numFmtId="180" fontId="0" fillId="2" borderId="69" xfId="0" applyNumberFormat="1" applyFill="1" applyBorder="1" applyAlignment="1">
      <alignment horizontal="center"/>
    </xf>
    <xf numFmtId="180" fontId="0" fillId="2" borderId="44" xfId="0" applyNumberFormat="1" applyFill="1" applyBorder="1" applyAlignment="1">
      <alignment horizontal="center"/>
    </xf>
    <xf numFmtId="180" fontId="0" fillId="2" borderId="45" xfId="0" applyNumberFormat="1" applyFill="1" applyBorder="1" applyAlignment="1">
      <alignment horizontal="center"/>
    </xf>
    <xf numFmtId="180" fontId="0" fillId="2" borderId="68" xfId="0" applyNumberFormat="1" applyFill="1" applyBorder="1" applyAlignment="1">
      <alignment horizontal="center"/>
    </xf>
    <xf numFmtId="180" fontId="0" fillId="2" borderId="46" xfId="0" applyNumberFormat="1" applyFill="1" applyBorder="1" applyAlignment="1">
      <alignment horizontal="center"/>
    </xf>
    <xf numFmtId="180" fontId="0" fillId="27" borderId="28" xfId="0" applyNumberFormat="1" applyFill="1" applyBorder="1" applyAlignment="1">
      <alignment horizontal="center"/>
    </xf>
    <xf numFmtId="180" fontId="0" fillId="27" borderId="71" xfId="0" applyNumberFormat="1" applyFill="1" applyBorder="1" applyAlignment="1">
      <alignment horizontal="center"/>
    </xf>
    <xf numFmtId="180" fontId="0" fillId="27" borderId="31" xfId="0" applyNumberFormat="1" applyFill="1" applyBorder="1" applyAlignment="1">
      <alignment horizontal="center"/>
    </xf>
    <xf numFmtId="180" fontId="0" fillId="27" borderId="32" xfId="0" applyNumberFormat="1" applyFill="1" applyBorder="1" applyAlignment="1">
      <alignment horizontal="center"/>
    </xf>
    <xf numFmtId="180" fontId="0" fillId="27" borderId="35" xfId="0" applyNumberFormat="1" applyFill="1" applyBorder="1" applyAlignment="1">
      <alignment horizontal="center"/>
    </xf>
    <xf numFmtId="180" fontId="0" fillId="27" borderId="36" xfId="0" applyNumberFormat="1" applyFill="1" applyBorder="1" applyAlignment="1">
      <alignment horizontal="center"/>
    </xf>
    <xf numFmtId="180" fontId="0" fillId="27" borderId="70" xfId="0" applyNumberFormat="1" applyFill="1" applyBorder="1" applyAlignment="1">
      <alignment horizontal="center"/>
    </xf>
    <xf numFmtId="180" fontId="0" fillId="27" borderId="39" xfId="0" applyNumberFormat="1" applyFill="1" applyBorder="1" applyAlignment="1">
      <alignment horizontal="center"/>
    </xf>
    <xf numFmtId="0" fontId="0" fillId="27" borderId="44" xfId="0" applyFill="1" applyBorder="1" applyAlignment="1">
      <alignment horizontal="center"/>
    </xf>
    <xf numFmtId="1" fontId="0" fillId="27" borderId="41" xfId="0" applyNumberFormat="1" applyFill="1" applyBorder="1" applyAlignment="1">
      <alignment horizontal="center"/>
    </xf>
    <xf numFmtId="0" fontId="0" fillId="27" borderId="69" xfId="0" applyFill="1" applyBorder="1" applyAlignment="1">
      <alignment horizontal="center"/>
    </xf>
    <xf numFmtId="11" fontId="0" fillId="27" borderId="33" xfId="0" applyNumberFormat="1" applyFill="1" applyBorder="1" applyAlignment="1">
      <alignment horizontal="center"/>
    </xf>
    <xf numFmtId="0" fontId="0" fillId="27" borderId="46" xfId="0" applyFill="1" applyBorder="1" applyAlignment="1">
      <alignment horizontal="center"/>
    </xf>
    <xf numFmtId="0" fontId="0" fillId="27" borderId="68" xfId="0" applyFill="1" applyBorder="1" applyAlignment="1">
      <alignment horizontal="center"/>
    </xf>
    <xf numFmtId="175" fontId="0" fillId="27" borderId="68" xfId="0" applyNumberFormat="1" applyFill="1" applyBorder="1" applyAlignment="1">
      <alignment horizontal="center"/>
    </xf>
    <xf numFmtId="175" fontId="0" fillId="27" borderId="46" xfId="0" applyNumberFormat="1" applyFill="1" applyBorder="1" applyAlignment="1">
      <alignment horizontal="center"/>
    </xf>
    <xf numFmtId="0" fontId="0" fillId="10" borderId="182" xfId="0" applyFill="1" applyBorder="1" applyAlignment="1">
      <alignment horizontal="center"/>
    </xf>
    <xf numFmtId="1" fontId="0" fillId="36" borderId="41" xfId="0" applyNumberFormat="1" applyFill="1" applyBorder="1" applyAlignment="1">
      <alignment horizontal="center"/>
    </xf>
    <xf numFmtId="1" fontId="0" fillId="36" borderId="44" xfId="0" applyNumberFormat="1" applyFill="1" applyBorder="1" applyAlignment="1">
      <alignment horizontal="center"/>
    </xf>
    <xf numFmtId="0" fontId="0" fillId="36" borderId="68" xfId="0" applyFill="1" applyBorder="1" applyAlignment="1">
      <alignment horizontal="center"/>
    </xf>
    <xf numFmtId="11" fontId="0" fillId="36" borderId="69" xfId="0" applyNumberFormat="1" applyFill="1" applyBorder="1" applyAlignment="1">
      <alignment horizontal="center"/>
    </xf>
    <xf numFmtId="0" fontId="0" fillId="36" borderId="69" xfId="0" applyFill="1" applyBorder="1" applyAlignment="1">
      <alignment horizontal="center"/>
    </xf>
    <xf numFmtId="175" fontId="0" fillId="36" borderId="41" xfId="0" applyNumberFormat="1" applyFill="1" applyBorder="1" applyAlignment="1">
      <alignment horizontal="center"/>
    </xf>
    <xf numFmtId="175" fontId="0" fillId="36" borderId="69" xfId="0" applyNumberFormat="1" applyFill="1" applyBorder="1" applyAlignment="1">
      <alignment horizontal="center"/>
    </xf>
    <xf numFmtId="175" fontId="0" fillId="36" borderId="44" xfId="0" applyNumberFormat="1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0" fillId="36" borderId="55" xfId="0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1" fontId="0" fillId="36" borderId="32" xfId="0" applyNumberFormat="1" applyFill="1" applyBorder="1" applyAlignment="1">
      <alignment horizontal="center"/>
    </xf>
    <xf numFmtId="1" fontId="0" fillId="36" borderId="35" xfId="0" applyNumberFormat="1" applyFill="1" applyBorder="1" applyAlignment="1">
      <alignment horizontal="center"/>
    </xf>
    <xf numFmtId="0" fontId="0" fillId="36" borderId="67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175" fontId="0" fillId="36" borderId="32" xfId="0" applyNumberFormat="1" applyFill="1" applyBorder="1" applyAlignment="1">
      <alignment horizontal="center"/>
    </xf>
    <xf numFmtId="175" fontId="0" fillId="36" borderId="67" xfId="0" applyNumberFormat="1" applyFill="1" applyBorder="1" applyAlignment="1">
      <alignment horizontal="center"/>
    </xf>
    <xf numFmtId="175" fontId="0" fillId="36" borderId="35" xfId="0" applyNumberFormat="1" applyFill="1" applyBorder="1" applyAlignment="1">
      <alignment horizontal="center"/>
    </xf>
    <xf numFmtId="11" fontId="0" fillId="36" borderId="33" xfId="0" applyNumberFormat="1" applyFill="1" applyBorder="1" applyAlignment="1">
      <alignment horizontal="center"/>
    </xf>
    <xf numFmtId="11" fontId="0" fillId="36" borderId="67" xfId="0" applyNumberFormat="1" applyFill="1" applyBorder="1" applyAlignment="1">
      <alignment horizontal="center"/>
    </xf>
    <xf numFmtId="0" fontId="0" fillId="36" borderId="6" xfId="0" applyFill="1" applyBorder="1" applyAlignment="1">
      <alignment horizontal="center"/>
    </xf>
    <xf numFmtId="0" fontId="0" fillId="36" borderId="62" xfId="0" applyFill="1" applyBorder="1" applyAlignment="1">
      <alignment horizontal="center"/>
    </xf>
    <xf numFmtId="0" fontId="0" fillId="36" borderId="8" xfId="0" applyFill="1" applyBorder="1" applyAlignment="1">
      <alignment horizontal="center"/>
    </xf>
    <xf numFmtId="1" fontId="0" fillId="36" borderId="6" xfId="0" applyNumberFormat="1" applyFill="1" applyBorder="1" applyAlignment="1">
      <alignment horizontal="center"/>
    </xf>
    <xf numFmtId="1" fontId="0" fillId="36" borderId="8" xfId="0" applyNumberFormat="1" applyFill="1" applyBorder="1" applyAlignment="1">
      <alignment horizontal="center"/>
    </xf>
    <xf numFmtId="0" fontId="0" fillId="36" borderId="72" xfId="0" applyFill="1" applyBorder="1" applyAlignment="1">
      <alignment horizontal="center"/>
    </xf>
    <xf numFmtId="0" fontId="0" fillId="36" borderId="7" xfId="0" applyFill="1" applyBorder="1" applyAlignment="1">
      <alignment horizontal="center"/>
    </xf>
    <xf numFmtId="175" fontId="0" fillId="36" borderId="6" xfId="0" applyNumberFormat="1" applyFill="1" applyBorder="1" applyAlignment="1">
      <alignment horizontal="center"/>
    </xf>
    <xf numFmtId="175" fontId="0" fillId="36" borderId="72" xfId="0" applyNumberFormat="1" applyFill="1" applyBorder="1" applyAlignment="1">
      <alignment horizontal="center"/>
    </xf>
    <xf numFmtId="175" fontId="0" fillId="36" borderId="8" xfId="0" applyNumberFormat="1" applyFill="1" applyBorder="1" applyAlignment="1">
      <alignment horizontal="center"/>
    </xf>
    <xf numFmtId="1" fontId="0" fillId="36" borderId="36" xfId="0" applyNumberFormat="1" applyFill="1" applyBorder="1" applyAlignment="1">
      <alignment horizontal="center"/>
    </xf>
    <xf numFmtId="11" fontId="0" fillId="27" borderId="40" xfId="0" applyNumberFormat="1" applyFill="1" applyBorder="1" applyAlignment="1">
      <alignment horizontal="center"/>
    </xf>
    <xf numFmtId="168" fontId="0" fillId="27" borderId="41" xfId="0" applyNumberFormat="1" applyFill="1" applyBorder="1" applyAlignment="1">
      <alignment horizontal="center"/>
    </xf>
    <xf numFmtId="1" fontId="0" fillId="27" borderId="69" xfId="0" applyNumberFormat="1" applyFill="1" applyBorder="1" applyAlignment="1">
      <alignment horizontal="center"/>
    </xf>
    <xf numFmtId="166" fontId="0" fillId="27" borderId="44" xfId="0" applyNumberFormat="1" applyFill="1" applyBorder="1" applyAlignment="1">
      <alignment horizontal="center"/>
    </xf>
    <xf numFmtId="166" fontId="0" fillId="27" borderId="67" xfId="0" applyNumberFormat="1" applyFill="1" applyBorder="1" applyAlignment="1">
      <alignment horizontal="center"/>
    </xf>
    <xf numFmtId="1" fontId="0" fillId="27" borderId="67" xfId="0" applyNumberFormat="1" applyFill="1" applyBorder="1" applyAlignment="1">
      <alignment horizontal="center"/>
    </xf>
    <xf numFmtId="1" fontId="0" fillId="27" borderId="35" xfId="0" applyNumberFormat="1" applyFill="1" applyBorder="1" applyAlignment="1">
      <alignment horizontal="center"/>
    </xf>
    <xf numFmtId="176" fontId="0" fillId="27" borderId="45" xfId="0" applyNumberFormat="1" applyFill="1" applyBorder="1" applyAlignment="1">
      <alignment horizontal="center"/>
    </xf>
    <xf numFmtId="176" fontId="0" fillId="27" borderId="68" xfId="0" applyNumberFormat="1" applyFill="1" applyBorder="1" applyAlignment="1">
      <alignment horizontal="center"/>
    </xf>
    <xf numFmtId="174" fontId="0" fillId="27" borderId="68" xfId="0" applyNumberFormat="1" applyFill="1" applyBorder="1" applyAlignment="1">
      <alignment horizontal="center"/>
    </xf>
    <xf numFmtId="176" fontId="0" fillId="27" borderId="46" xfId="0" applyNumberFormat="1" applyFill="1" applyBorder="1" applyAlignment="1">
      <alignment horizontal="center"/>
    </xf>
    <xf numFmtId="11" fontId="0" fillId="27" borderId="45" xfId="0" applyNumberFormat="1" applyFill="1" applyBorder="1" applyAlignment="1">
      <alignment horizontal="center"/>
    </xf>
    <xf numFmtId="11" fontId="0" fillId="27" borderId="68" xfId="0" applyNumberFormat="1" applyFill="1" applyBorder="1" applyAlignment="1">
      <alignment horizontal="center"/>
    </xf>
    <xf numFmtId="166" fontId="0" fillId="2" borderId="37" xfId="0" applyNumberFormat="1" applyFill="1" applyBorder="1" applyAlignment="1">
      <alignment horizontal="center"/>
    </xf>
    <xf numFmtId="166" fontId="0" fillId="2" borderId="70" xfId="0" applyNumberFormat="1" applyFill="1" applyBorder="1" applyAlignment="1">
      <alignment horizontal="center"/>
    </xf>
    <xf numFmtId="0" fontId="0" fillId="3" borderId="82" xfId="0" applyFill="1" applyBorder="1" applyAlignment="1">
      <alignment horizontal="center"/>
    </xf>
    <xf numFmtId="0" fontId="0" fillId="3" borderId="83" xfId="0" applyFill="1" applyBorder="1" applyAlignment="1">
      <alignment horizontal="center"/>
    </xf>
    <xf numFmtId="0" fontId="0" fillId="3" borderId="8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82" xfId="0" applyFill="1" applyBorder="1" applyAlignment="1">
      <alignment horizontal="center"/>
    </xf>
    <xf numFmtId="0" fontId="0" fillId="4" borderId="8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18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0" fontId="0" fillId="4" borderId="84" xfId="0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4" borderId="85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0" borderId="83" xfId="0" applyBorder="1"/>
    <xf numFmtId="0" fontId="0" fillId="0" borderId="84" xfId="0" applyBorder="1"/>
    <xf numFmtId="0" fontId="0" fillId="3" borderId="28" xfId="0" applyFill="1" applyBorder="1" applyAlignment="1">
      <alignment horizontal="center"/>
    </xf>
    <xf numFmtId="0" fontId="0" fillId="0" borderId="29" xfId="0" applyBorder="1"/>
    <xf numFmtId="0" fontId="0" fillId="0" borderId="31" xfId="0" applyBorder="1"/>
    <xf numFmtId="0" fontId="0" fillId="4" borderId="28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0" borderId="31" xfId="0" applyBorder="1" applyAlignment="1"/>
    <xf numFmtId="0" fontId="0" fillId="0" borderId="84" xfId="0" applyBorder="1" applyAlignment="1"/>
    <xf numFmtId="0" fontId="0" fillId="0" borderId="83" xfId="0" applyBorder="1" applyAlignment="1"/>
    <xf numFmtId="0" fontId="0" fillId="0" borderId="29" xfId="0" applyBorder="1" applyAlignment="1"/>
    <xf numFmtId="0" fontId="0" fillId="4" borderId="29" xfId="0" applyFill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Excel Built-in Normal" xfId="1"/>
    <cellStyle name="Excel Built-in Normal 1" xfId="2"/>
    <cellStyle name="Normální" xfId="0" builtinId="0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E81F2"/>
      <color rgb="FF44BDE8"/>
      <color rgb="FF1DA4FF"/>
      <color rgb="FF6D90FF"/>
      <color rgb="FF0D9DFF"/>
      <color rgb="FF3BA0BB"/>
      <color rgb="FF6699FF"/>
      <color rgb="FF9797FF"/>
      <color rgb="FF0066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75"/>
  <sheetViews>
    <sheetView tabSelected="1" zoomScaleNormal="100" workbookViewId="0">
      <selection activeCell="B2" sqref="B2"/>
    </sheetView>
  </sheetViews>
  <sheetFormatPr defaultColWidth="18.7109375" defaultRowHeight="15" x14ac:dyDescent="0.25"/>
  <cols>
    <col min="1" max="2" width="5.7109375" style="2" customWidth="1"/>
    <col min="3" max="3" width="12.7109375" style="2" customWidth="1"/>
    <col min="4" max="4" width="10.7109375" style="2" customWidth="1"/>
    <col min="5" max="5" width="18.7109375" style="2"/>
    <col min="6" max="6" width="12.7109375" style="2" customWidth="1"/>
    <col min="7" max="7" width="10.7109375" style="2" customWidth="1"/>
    <col min="8" max="16384" width="18.7109375" style="2"/>
  </cols>
  <sheetData>
    <row r="2" spans="2:20" ht="21" x14ac:dyDescent="0.35">
      <c r="C2" s="2490" t="s">
        <v>26</v>
      </c>
      <c r="D2" s="2491"/>
      <c r="E2" s="2491"/>
      <c r="F2" s="2491"/>
      <c r="G2" s="2491"/>
      <c r="H2" s="2491"/>
      <c r="I2" s="2491"/>
      <c r="J2" s="2491"/>
    </row>
    <row r="3" spans="2:20" x14ac:dyDescent="0.25">
      <c r="L3" s="9"/>
    </row>
    <row r="4" spans="2:20" x14ac:dyDescent="0.25">
      <c r="B4" s="3"/>
      <c r="C4" s="2492" t="s">
        <v>22</v>
      </c>
      <c r="D4" s="2493"/>
      <c r="E4" s="2494"/>
      <c r="F4" s="721"/>
      <c r="G4" s="721"/>
      <c r="H4" s="2492" t="s">
        <v>23</v>
      </c>
      <c r="I4" s="2494"/>
    </row>
    <row r="5" spans="2:20" ht="15.75" thickBot="1" x14ac:dyDescent="0.3"/>
    <row r="6" spans="2:20" s="9" customFormat="1" ht="19.5" thickBot="1" x14ac:dyDescent="0.35">
      <c r="E6" s="2497" t="s">
        <v>121</v>
      </c>
      <c r="F6" s="2498"/>
      <c r="G6" s="2499"/>
    </row>
    <row r="7" spans="2:20" ht="15.75" thickBot="1" x14ac:dyDescent="0.3"/>
    <row r="8" spans="2:20" ht="15.75" thickTop="1" x14ac:dyDescent="0.25">
      <c r="C8" s="2488" t="s">
        <v>0</v>
      </c>
      <c r="D8" s="2489"/>
      <c r="E8" s="2489"/>
      <c r="F8" s="2489"/>
      <c r="G8" s="2489"/>
      <c r="H8" s="2495"/>
      <c r="I8" s="2484" t="s">
        <v>158</v>
      </c>
      <c r="J8" s="2484"/>
      <c r="K8" s="2484"/>
      <c r="L8" s="2485"/>
      <c r="M8" s="2489" t="s">
        <v>17</v>
      </c>
      <c r="N8" s="2489"/>
      <c r="O8" s="2489"/>
      <c r="P8" s="2495"/>
      <c r="Q8" s="2483" t="s">
        <v>8</v>
      </c>
      <c r="R8" s="2484"/>
      <c r="S8" s="2484"/>
      <c r="T8" s="2485"/>
    </row>
    <row r="9" spans="2:20" ht="15.75" thickBot="1" x14ac:dyDescent="0.3">
      <c r="C9" s="2486" t="s">
        <v>119</v>
      </c>
      <c r="D9" s="2487"/>
      <c r="E9" s="2487"/>
      <c r="F9" s="2486" t="s">
        <v>2</v>
      </c>
      <c r="G9" s="2487"/>
      <c r="H9" s="2496"/>
      <c r="I9" s="2480" t="s">
        <v>5</v>
      </c>
      <c r="J9" s="2481"/>
      <c r="K9" s="2481"/>
      <c r="L9" s="2482"/>
      <c r="M9" s="2487" t="s">
        <v>6</v>
      </c>
      <c r="N9" s="2487"/>
      <c r="O9" s="2487"/>
      <c r="P9" s="2496"/>
      <c r="Q9" s="2480" t="s">
        <v>6</v>
      </c>
      <c r="R9" s="2481"/>
      <c r="S9" s="2481"/>
      <c r="T9" s="2482"/>
    </row>
    <row r="10" spans="2:20" ht="15.75" thickBot="1" x14ac:dyDescent="0.3">
      <c r="C10" s="14" t="s">
        <v>3</v>
      </c>
      <c r="D10" s="65" t="s">
        <v>4</v>
      </c>
      <c r="E10" s="50" t="s">
        <v>18</v>
      </c>
      <c r="F10" s="14" t="s">
        <v>3</v>
      </c>
      <c r="G10" s="65" t="s">
        <v>4</v>
      </c>
      <c r="H10" s="52" t="s">
        <v>15</v>
      </c>
      <c r="I10" s="13" t="s">
        <v>25</v>
      </c>
      <c r="J10" s="79" t="s">
        <v>10</v>
      </c>
      <c r="K10" s="79" t="s">
        <v>11</v>
      </c>
      <c r="L10" s="54" t="s">
        <v>12</v>
      </c>
      <c r="M10" s="50" t="s">
        <v>25</v>
      </c>
      <c r="N10" s="80" t="s">
        <v>10</v>
      </c>
      <c r="O10" s="80" t="s">
        <v>11</v>
      </c>
      <c r="P10" s="52" t="s">
        <v>12</v>
      </c>
      <c r="Q10" s="13" t="s">
        <v>25</v>
      </c>
      <c r="R10" s="79" t="s">
        <v>10</v>
      </c>
      <c r="S10" s="79" t="s">
        <v>11</v>
      </c>
      <c r="T10" s="54" t="s">
        <v>12</v>
      </c>
    </row>
    <row r="11" spans="2:20" ht="15.75" thickTop="1" x14ac:dyDescent="0.25">
      <c r="C11" s="876">
        <v>44</v>
      </c>
      <c r="D11" s="877" t="s">
        <v>24</v>
      </c>
      <c r="E11" s="875">
        <f>C11*0.74569987158227</f>
        <v>32.810794349619883</v>
      </c>
      <c r="F11" s="876">
        <v>3</v>
      </c>
      <c r="G11" s="877" t="s">
        <v>13</v>
      </c>
      <c r="H11" s="878">
        <f>F11*3600</f>
        <v>10800</v>
      </c>
      <c r="I11" s="879">
        <f>E11*H11</f>
        <v>354356.57897589472</v>
      </c>
      <c r="J11" s="880">
        <f>1000*I11</f>
        <v>354356578.97589475</v>
      </c>
      <c r="K11" s="881">
        <f>I11/4.187</f>
        <v>84632.572002840869</v>
      </c>
      <c r="L11" s="882">
        <f>I11/3600</f>
        <v>98.432383048859649</v>
      </c>
      <c r="M11" s="876">
        <v>354357</v>
      </c>
      <c r="N11" s="880">
        <v>354356579</v>
      </c>
      <c r="O11" s="883">
        <v>84632.6</v>
      </c>
      <c r="P11" s="918">
        <v>98.432400000000001</v>
      </c>
      <c r="Q11" s="885">
        <f xml:space="preserve"> (I31-L31)/I31</f>
        <v>3.0496104874605513E-6</v>
      </c>
      <c r="R11" s="886">
        <f xml:space="preserve"> (J11-N11)/J11</f>
        <v>-6.8025407924085611E-11</v>
      </c>
      <c r="S11" s="886">
        <f xml:space="preserve"> (K11-O11)/K11</f>
        <v>-3.3080832207507458E-7</v>
      </c>
      <c r="T11" s="887">
        <f xml:space="preserve"> (L11-P11)/L11</f>
        <v>-1.7221101255165741E-7</v>
      </c>
    </row>
    <row r="12" spans="2:20" x14ac:dyDescent="0.25">
      <c r="C12" s="888">
        <v>0.12</v>
      </c>
      <c r="D12" s="59" t="s">
        <v>19</v>
      </c>
      <c r="E12" s="32">
        <f>C12* 9.80665 / 1000</f>
        <v>1.1767979999999997E-3</v>
      </c>
      <c r="F12" s="71">
        <v>5</v>
      </c>
      <c r="G12" s="59" t="s">
        <v>13</v>
      </c>
      <c r="H12" s="889">
        <f>F12*3600</f>
        <v>18000</v>
      </c>
      <c r="I12" s="890">
        <f>E12*H12</f>
        <v>21.182363999999996</v>
      </c>
      <c r="J12" s="891">
        <f t="shared" ref="J12:J25" si="0">1000*I12</f>
        <v>21182.363999999998</v>
      </c>
      <c r="K12" s="892">
        <f>I12/4.187</f>
        <v>5.0590790542154274</v>
      </c>
      <c r="L12" s="893">
        <f>I12/3600</f>
        <v>5.8839899999999987E-3</v>
      </c>
      <c r="M12" s="894">
        <v>21.182400000000001</v>
      </c>
      <c r="N12" s="892">
        <v>21182.400000000001</v>
      </c>
      <c r="O12" s="895">
        <v>5.0590799999999998</v>
      </c>
      <c r="P12" s="923">
        <v>5.8839900000000004E-3</v>
      </c>
      <c r="Q12" s="897">
        <f t="shared" ref="Q12:Q25" si="1" xml:space="preserve"> (I12-M12)/I12</f>
        <v>-1.6995270218674372E-6</v>
      </c>
      <c r="R12" s="898">
        <f t="shared" ref="R12:R25" si="2" xml:space="preserve"> (J12-N12)/J12</f>
        <v>-1.6995270218043741E-6</v>
      </c>
      <c r="S12" s="898">
        <f t="shared" ref="S12:S25" si="3" xml:space="preserve"> (K12-O12)/K12</f>
        <v>-1.8694797260559234E-7</v>
      </c>
      <c r="T12" s="899">
        <f t="shared" ref="T12:T25" si="4" xml:space="preserve"> (L12-P12)/L12</f>
        <v>-2.9482094224782972E-16</v>
      </c>
    </row>
    <row r="13" spans="2:20" x14ac:dyDescent="0.25">
      <c r="C13" s="71">
        <v>630</v>
      </c>
      <c r="D13" s="59" t="s">
        <v>18</v>
      </c>
      <c r="E13" s="32">
        <f>C13</f>
        <v>630</v>
      </c>
      <c r="F13" s="900">
        <v>0.1</v>
      </c>
      <c r="G13" s="59" t="s">
        <v>13</v>
      </c>
      <c r="H13" s="889">
        <f>F13*3600</f>
        <v>360</v>
      </c>
      <c r="I13" s="71">
        <f>E13*H13</f>
        <v>226800</v>
      </c>
      <c r="J13" s="901">
        <f t="shared" si="0"/>
        <v>226800000</v>
      </c>
      <c r="K13" s="891">
        <f>I13/4.187</f>
        <v>54167.661810365411</v>
      </c>
      <c r="L13" s="893">
        <f>I13/3600</f>
        <v>63</v>
      </c>
      <c r="M13" s="902">
        <v>226800</v>
      </c>
      <c r="N13" s="901">
        <v>226800000</v>
      </c>
      <c r="O13" s="903">
        <v>54167.7</v>
      </c>
      <c r="P13" s="923">
        <v>63</v>
      </c>
      <c r="Q13" s="897">
        <f t="shared" si="1"/>
        <v>0</v>
      </c>
      <c r="R13" s="898">
        <f t="shared" si="2"/>
        <v>0</v>
      </c>
      <c r="S13" s="898">
        <f t="shared" si="3"/>
        <v>-7.0502645508048588E-7</v>
      </c>
      <c r="T13" s="899">
        <f t="shared" si="4"/>
        <v>0</v>
      </c>
    </row>
    <row r="14" spans="2:20" x14ac:dyDescent="0.25">
      <c r="C14" s="71">
        <v>1000</v>
      </c>
      <c r="D14" s="59" t="s">
        <v>20</v>
      </c>
      <c r="E14" s="894">
        <f>C14/1000000</f>
        <v>1E-3</v>
      </c>
      <c r="F14" s="71">
        <v>6000</v>
      </c>
      <c r="G14" s="59" t="s">
        <v>13</v>
      </c>
      <c r="H14" s="889">
        <f>F14*3600</f>
        <v>21600000</v>
      </c>
      <c r="I14" s="888">
        <f>E14*H14</f>
        <v>21600</v>
      </c>
      <c r="J14" s="901">
        <f t="shared" si="0"/>
        <v>21600000</v>
      </c>
      <c r="K14" s="891">
        <f>I14/4.187</f>
        <v>5158.8249343205152</v>
      </c>
      <c r="L14" s="893">
        <f>I14/3600</f>
        <v>6</v>
      </c>
      <c r="M14" s="71">
        <v>21600</v>
      </c>
      <c r="N14" s="901">
        <v>21600000</v>
      </c>
      <c r="O14" s="892">
        <v>5158.82</v>
      </c>
      <c r="P14" s="2191">
        <v>6</v>
      </c>
      <c r="Q14" s="897">
        <f t="shared" si="1"/>
        <v>0</v>
      </c>
      <c r="R14" s="898">
        <f t="shared" si="2"/>
        <v>0</v>
      </c>
      <c r="S14" s="898">
        <f t="shared" si="3"/>
        <v>9.5648148141334691E-7</v>
      </c>
      <c r="T14" s="899">
        <f t="shared" si="4"/>
        <v>0</v>
      </c>
    </row>
    <row r="15" spans="2:20" ht="15.75" thickBot="1" x14ac:dyDescent="0.3">
      <c r="C15" s="105">
        <v>58097</v>
      </c>
      <c r="D15" s="60" t="s">
        <v>21</v>
      </c>
      <c r="E15" s="55">
        <f>C15/1000</f>
        <v>58.097000000000001</v>
      </c>
      <c r="F15" s="105">
        <v>99</v>
      </c>
      <c r="G15" s="60" t="s">
        <v>13</v>
      </c>
      <c r="H15" s="905">
        <f>F15*3600</f>
        <v>356400</v>
      </c>
      <c r="I15" s="906">
        <f>E15*H15</f>
        <v>20705770.800000001</v>
      </c>
      <c r="J15" s="907">
        <f t="shared" si="0"/>
        <v>20705770800</v>
      </c>
      <c r="K15" s="908">
        <f>I15/4.187</f>
        <v>4945252.1614521137</v>
      </c>
      <c r="L15" s="909">
        <f>I15/3600</f>
        <v>5751.6030000000001</v>
      </c>
      <c r="M15" s="105">
        <v>20705771</v>
      </c>
      <c r="N15" s="907">
        <v>20705770800</v>
      </c>
      <c r="O15" s="907">
        <v>4945252</v>
      </c>
      <c r="P15" s="910">
        <v>5751.6</v>
      </c>
      <c r="Q15" s="911">
        <f t="shared" si="1"/>
        <v>-9.6591429117404274E-9</v>
      </c>
      <c r="R15" s="912">
        <f t="shared" si="2"/>
        <v>0</v>
      </c>
      <c r="S15" s="912">
        <f t="shared" si="3"/>
        <v>3.2647903156333835E-8</v>
      </c>
      <c r="T15" s="913">
        <f t="shared" si="4"/>
        <v>5.2159371912520491E-7</v>
      </c>
    </row>
    <row r="16" spans="2:20" ht="15.75" thickTop="1" x14ac:dyDescent="0.25">
      <c r="C16" s="1255">
        <v>202</v>
      </c>
      <c r="D16" s="1256" t="s">
        <v>24</v>
      </c>
      <c r="E16" s="1257">
        <f>C16*0.74569987158227</f>
        <v>150.63137405961854</v>
      </c>
      <c r="F16" s="1255">
        <v>1500</v>
      </c>
      <c r="G16" s="1256" t="s">
        <v>14</v>
      </c>
      <c r="H16" s="1258">
        <f>F16*60</f>
        <v>90000</v>
      </c>
      <c r="I16" s="1259">
        <f t="shared" ref="I16:I25" si="5">E16*H16</f>
        <v>13556823.665365668</v>
      </c>
      <c r="J16" s="1260">
        <f t="shared" si="0"/>
        <v>13556823665.365667</v>
      </c>
      <c r="K16" s="1261">
        <f t="shared" ref="K16:K25" si="6">I16/4.187</f>
        <v>3237837.0349571691</v>
      </c>
      <c r="L16" s="1262">
        <f t="shared" ref="L16:L25" si="7">I16/3600</f>
        <v>3765.7843514904635</v>
      </c>
      <c r="M16" s="1263">
        <v>13556824</v>
      </c>
      <c r="N16" s="1261">
        <v>13556823665</v>
      </c>
      <c r="O16" s="1261">
        <v>3237837</v>
      </c>
      <c r="P16" s="1264">
        <v>3765.78</v>
      </c>
      <c r="Q16" s="1265">
        <f t="shared" si="1"/>
        <v>-2.4683830095187862E-8</v>
      </c>
      <c r="R16" s="1266">
        <f t="shared" si="2"/>
        <v>2.697293644630328E-11</v>
      </c>
      <c r="S16" s="1266">
        <f t="shared" si="3"/>
        <v>1.0796457237363324E-8</v>
      </c>
      <c r="T16" s="1267">
        <f t="shared" si="4"/>
        <v>1.1555336304714179E-6</v>
      </c>
    </row>
    <row r="17" spans="3:21" x14ac:dyDescent="0.25">
      <c r="C17" s="1268">
        <v>45</v>
      </c>
      <c r="D17" s="1269" t="s">
        <v>19</v>
      </c>
      <c r="E17" s="1254">
        <f>C17* 9.80665 / 1000</f>
        <v>0.44129924999999998</v>
      </c>
      <c r="F17" s="1268">
        <v>400</v>
      </c>
      <c r="G17" s="1269" t="s">
        <v>14</v>
      </c>
      <c r="H17" s="1270">
        <f>F17*60</f>
        <v>24000</v>
      </c>
      <c r="I17" s="1271">
        <f t="shared" si="5"/>
        <v>10591.181999999999</v>
      </c>
      <c r="J17" s="1272">
        <f t="shared" si="0"/>
        <v>10591181.999999998</v>
      </c>
      <c r="K17" s="1273">
        <f t="shared" si="6"/>
        <v>2529.5395271077141</v>
      </c>
      <c r="L17" s="1274">
        <f t="shared" si="7"/>
        <v>2.9419949999999995</v>
      </c>
      <c r="M17" s="1275">
        <v>10591.2</v>
      </c>
      <c r="N17" s="1272">
        <v>10591182</v>
      </c>
      <c r="O17" s="1276">
        <v>2529.54</v>
      </c>
      <c r="P17" s="1346">
        <v>2.9419900000000001</v>
      </c>
      <c r="Q17" s="1277">
        <f t="shared" si="1"/>
        <v>-1.6995270218043741E-6</v>
      </c>
      <c r="R17" s="1278">
        <f t="shared" si="2"/>
        <v>-1.7586754237921296E-16</v>
      </c>
      <c r="S17" s="1278">
        <f t="shared" si="3"/>
        <v>-1.8694797246795226E-7</v>
      </c>
      <c r="T17" s="1279">
        <f t="shared" si="4"/>
        <v>1.6995270214145922E-6</v>
      </c>
    </row>
    <row r="18" spans="3:21" x14ac:dyDescent="0.25">
      <c r="C18" s="1268">
        <v>63</v>
      </c>
      <c r="D18" s="1269" t="s">
        <v>18</v>
      </c>
      <c r="E18" s="1254">
        <f>C18</f>
        <v>63</v>
      </c>
      <c r="F18" s="1268">
        <v>5</v>
      </c>
      <c r="G18" s="1269" t="s">
        <v>14</v>
      </c>
      <c r="H18" s="1270">
        <f>F18*60</f>
        <v>300</v>
      </c>
      <c r="I18" s="1280">
        <f t="shared" si="5"/>
        <v>18900</v>
      </c>
      <c r="J18" s="1272">
        <f t="shared" si="0"/>
        <v>18900000</v>
      </c>
      <c r="K18" s="1273">
        <f t="shared" si="6"/>
        <v>4513.9718175304515</v>
      </c>
      <c r="L18" s="1274">
        <f t="shared" si="7"/>
        <v>5.25</v>
      </c>
      <c r="M18" s="1275">
        <v>18900</v>
      </c>
      <c r="N18" s="1272">
        <v>18900000</v>
      </c>
      <c r="O18" s="1276">
        <v>4513.97</v>
      </c>
      <c r="P18" s="1361">
        <v>5.25</v>
      </c>
      <c r="Q18" s="1277">
        <f t="shared" si="1"/>
        <v>0</v>
      </c>
      <c r="R18" s="1278">
        <f t="shared" si="2"/>
        <v>0</v>
      </c>
      <c r="S18" s="1278">
        <f t="shared" si="3"/>
        <v>4.0264550261565003E-7</v>
      </c>
      <c r="T18" s="1279">
        <f t="shared" si="4"/>
        <v>0</v>
      </c>
    </row>
    <row r="19" spans="3:21" x14ac:dyDescent="0.25">
      <c r="C19" s="1268">
        <v>250</v>
      </c>
      <c r="D19" s="1269" t="s">
        <v>20</v>
      </c>
      <c r="E19" s="1254">
        <f>C19/1000000</f>
        <v>2.5000000000000001E-4</v>
      </c>
      <c r="F19" s="1268">
        <v>15</v>
      </c>
      <c r="G19" s="1269" t="s">
        <v>14</v>
      </c>
      <c r="H19" s="1270">
        <f>F19*60</f>
        <v>900</v>
      </c>
      <c r="I19" s="1281">
        <f t="shared" si="5"/>
        <v>0.22500000000000001</v>
      </c>
      <c r="J19" s="1273">
        <f t="shared" si="0"/>
        <v>225</v>
      </c>
      <c r="K19" s="1282">
        <f t="shared" si="6"/>
        <v>5.3737759732505372E-2</v>
      </c>
      <c r="L19" s="1274">
        <f t="shared" si="7"/>
        <v>6.2500000000000001E-5</v>
      </c>
      <c r="M19" s="1283">
        <v>0.22500000000000001</v>
      </c>
      <c r="N19" s="1307">
        <v>225</v>
      </c>
      <c r="O19" s="1307">
        <v>5.3737800000000002E-2</v>
      </c>
      <c r="P19" s="1346">
        <v>6.2500000000000001E-5</v>
      </c>
      <c r="Q19" s="1277">
        <f t="shared" si="1"/>
        <v>0</v>
      </c>
      <c r="R19" s="1278">
        <f t="shared" si="2"/>
        <v>0</v>
      </c>
      <c r="S19" s="1278">
        <f t="shared" si="3"/>
        <v>-7.4933333341057717E-7</v>
      </c>
      <c r="T19" s="1279">
        <f t="shared" si="4"/>
        <v>0</v>
      </c>
    </row>
    <row r="20" spans="3:21" ht="15.75" thickBot="1" x14ac:dyDescent="0.3">
      <c r="C20" s="1286">
        <v>115</v>
      </c>
      <c r="D20" s="1287" t="s">
        <v>21</v>
      </c>
      <c r="E20" s="1288">
        <f>C20/1000</f>
        <v>0.115</v>
      </c>
      <c r="F20" s="1286">
        <v>145</v>
      </c>
      <c r="G20" s="1287" t="s">
        <v>14</v>
      </c>
      <c r="H20" s="1289">
        <f>F20*60</f>
        <v>8700</v>
      </c>
      <c r="I20" s="1290">
        <f t="shared" si="5"/>
        <v>1000.5</v>
      </c>
      <c r="J20" s="1291">
        <f t="shared" si="0"/>
        <v>1000500</v>
      </c>
      <c r="K20" s="1292">
        <f t="shared" si="6"/>
        <v>238.95390494387388</v>
      </c>
      <c r="L20" s="1293">
        <f t="shared" si="7"/>
        <v>0.27791666666666665</v>
      </c>
      <c r="M20" s="1294">
        <v>1000.5</v>
      </c>
      <c r="N20" s="1291">
        <v>1000500</v>
      </c>
      <c r="O20" s="2192">
        <v>238.95400000000001</v>
      </c>
      <c r="P20" s="1314">
        <v>0.27791700000000003</v>
      </c>
      <c r="Q20" s="1296">
        <f t="shared" si="1"/>
        <v>0</v>
      </c>
      <c r="R20" s="1297">
        <f t="shared" si="2"/>
        <v>0</v>
      </c>
      <c r="S20" s="1297">
        <f t="shared" si="3"/>
        <v>-3.9780109954691334E-7</v>
      </c>
      <c r="T20" s="1298">
        <f t="shared" si="4"/>
        <v>-1.1994003000177247E-6</v>
      </c>
    </row>
    <row r="21" spans="3:21" ht="15.75" thickTop="1" x14ac:dyDescent="0.25">
      <c r="C21" s="128">
        <v>486</v>
      </c>
      <c r="D21" s="146" t="s">
        <v>24</v>
      </c>
      <c r="E21" s="147">
        <f>C21*0.74569987158227</f>
        <v>362.41013758898322</v>
      </c>
      <c r="F21" s="128">
        <v>25</v>
      </c>
      <c r="G21" s="146" t="s">
        <v>15</v>
      </c>
      <c r="H21" s="115">
        <f>F21</f>
        <v>25</v>
      </c>
      <c r="I21" s="148">
        <f t="shared" si="5"/>
        <v>9060.2534397245799</v>
      </c>
      <c r="J21" s="187">
        <f t="shared" si="0"/>
        <v>9060253.4397245795</v>
      </c>
      <c r="K21" s="173">
        <f t="shared" si="6"/>
        <v>2163.9009887089992</v>
      </c>
      <c r="L21" s="188">
        <f t="shared" si="7"/>
        <v>2.5167370665901609</v>
      </c>
      <c r="M21" s="189">
        <v>9060.25</v>
      </c>
      <c r="N21" s="149">
        <v>9060253</v>
      </c>
      <c r="O21" s="150">
        <v>2163.9</v>
      </c>
      <c r="P21" s="2193">
        <v>2.51674</v>
      </c>
      <c r="Q21" s="190">
        <f t="shared" si="1"/>
        <v>3.7964992953362646E-7</v>
      </c>
      <c r="R21" s="191">
        <f t="shared" si="2"/>
        <v>4.8533364146912364E-8</v>
      </c>
      <c r="S21" s="191">
        <f t="shared" si="3"/>
        <v>4.5691046136653393E-7</v>
      </c>
      <c r="T21" s="192">
        <f t="shared" si="4"/>
        <v>-1.1655607087349471E-6</v>
      </c>
    </row>
    <row r="22" spans="3:21" x14ac:dyDescent="0.25">
      <c r="C22" s="72">
        <v>103</v>
      </c>
      <c r="D22" s="62" t="s">
        <v>19</v>
      </c>
      <c r="E22" s="34">
        <f>C22* 9.80665 / 1000</f>
        <v>1.01008495</v>
      </c>
      <c r="F22" s="72">
        <v>3</v>
      </c>
      <c r="G22" s="62" t="s">
        <v>15</v>
      </c>
      <c r="H22" s="35">
        <f>F22</f>
        <v>3</v>
      </c>
      <c r="I22" s="94">
        <f t="shared" si="5"/>
        <v>3.0302548499999999</v>
      </c>
      <c r="J22" s="151">
        <f t="shared" si="0"/>
        <v>3030.2548499999998</v>
      </c>
      <c r="K22" s="152">
        <f t="shared" si="6"/>
        <v>0.72372936470026261</v>
      </c>
      <c r="L22" s="153">
        <f t="shared" si="7"/>
        <v>8.4173745833333337E-4</v>
      </c>
      <c r="M22" s="160">
        <v>3.0302500000000001</v>
      </c>
      <c r="N22" s="154">
        <v>3030.25</v>
      </c>
      <c r="O22" s="167">
        <v>0.72372899999999996</v>
      </c>
      <c r="P22" s="98">
        <v>8.4173699999999995E-4</v>
      </c>
      <c r="Q22" s="155">
        <f t="shared" si="1"/>
        <v>1.6005254474996233E-6</v>
      </c>
      <c r="R22" s="156">
        <f t="shared" si="2"/>
        <v>1.6005254474902441E-6</v>
      </c>
      <c r="S22" s="156">
        <f t="shared" si="3"/>
        <v>5.039180119590114E-7</v>
      </c>
      <c r="T22" s="157">
        <f t="shared" si="4"/>
        <v>5.4450865751520906E-7</v>
      </c>
    </row>
    <row r="23" spans="3:21" x14ac:dyDescent="0.25">
      <c r="C23" s="72">
        <v>531</v>
      </c>
      <c r="D23" s="62" t="s">
        <v>18</v>
      </c>
      <c r="E23" s="34">
        <f>C23</f>
        <v>531</v>
      </c>
      <c r="F23" s="72">
        <v>3</v>
      </c>
      <c r="G23" s="62" t="s">
        <v>15</v>
      </c>
      <c r="H23" s="35">
        <f>F23</f>
        <v>3</v>
      </c>
      <c r="I23" s="33">
        <f t="shared" si="5"/>
        <v>1593</v>
      </c>
      <c r="J23" s="154">
        <f t="shared" si="0"/>
        <v>1593000</v>
      </c>
      <c r="K23" s="151">
        <f t="shared" si="6"/>
        <v>380.46333890613801</v>
      </c>
      <c r="L23" s="153">
        <f t="shared" si="7"/>
        <v>0.4425</v>
      </c>
      <c r="M23" s="160">
        <v>1593</v>
      </c>
      <c r="N23" s="158">
        <v>1593000</v>
      </c>
      <c r="O23" s="154">
        <v>380.46300000000002</v>
      </c>
      <c r="P23" s="98">
        <v>0.4425</v>
      </c>
      <c r="Q23" s="155">
        <f t="shared" si="1"/>
        <v>0</v>
      </c>
      <c r="R23" s="156">
        <f t="shared" si="2"/>
        <v>0</v>
      </c>
      <c r="S23" s="156">
        <f t="shared" si="3"/>
        <v>8.9077212789507508E-7</v>
      </c>
      <c r="T23" s="157">
        <f t="shared" si="4"/>
        <v>0</v>
      </c>
    </row>
    <row r="24" spans="3:21" x14ac:dyDescent="0.25">
      <c r="C24" s="72">
        <v>300</v>
      </c>
      <c r="D24" s="62" t="s">
        <v>20</v>
      </c>
      <c r="E24" s="160">
        <f>C24/1000000</f>
        <v>2.9999999999999997E-4</v>
      </c>
      <c r="F24" s="72">
        <v>1667</v>
      </c>
      <c r="G24" s="62" t="s">
        <v>15</v>
      </c>
      <c r="H24" s="35">
        <f>F24</f>
        <v>1667</v>
      </c>
      <c r="I24" s="94">
        <f t="shared" si="5"/>
        <v>0.50009999999999999</v>
      </c>
      <c r="J24" s="154">
        <f t="shared" si="0"/>
        <v>500.09999999999997</v>
      </c>
      <c r="K24" s="152">
        <f t="shared" si="6"/>
        <v>0.11944112729878194</v>
      </c>
      <c r="L24" s="153">
        <f t="shared" si="7"/>
        <v>1.3891666666666666E-4</v>
      </c>
      <c r="M24" s="285">
        <v>0.50009999999999999</v>
      </c>
      <c r="N24" s="167">
        <v>500.1</v>
      </c>
      <c r="O24" s="167">
        <v>0.11944100000000001</v>
      </c>
      <c r="P24" s="300">
        <v>1.3891700000000001E-4</v>
      </c>
      <c r="Q24" s="155">
        <f t="shared" si="1"/>
        <v>0</v>
      </c>
      <c r="R24" s="156">
        <f t="shared" si="2"/>
        <v>-1.136641049006359E-16</v>
      </c>
      <c r="S24" s="156">
        <f t="shared" si="3"/>
        <v>1.0657868425325285E-6</v>
      </c>
      <c r="T24" s="157">
        <f t="shared" si="4"/>
        <v>-2.3995200960836239E-6</v>
      </c>
    </row>
    <row r="25" spans="3:21" ht="15.75" thickBot="1" x14ac:dyDescent="0.3">
      <c r="C25" s="106">
        <v>2252</v>
      </c>
      <c r="D25" s="63" t="s">
        <v>21</v>
      </c>
      <c r="E25" s="95">
        <f>C25/1000</f>
        <v>2.2519999999999998</v>
      </c>
      <c r="F25" s="106">
        <v>24</v>
      </c>
      <c r="G25" s="63" t="s">
        <v>15</v>
      </c>
      <c r="H25" s="40">
        <f>F25</f>
        <v>24</v>
      </c>
      <c r="I25" s="193">
        <f t="shared" si="5"/>
        <v>54.047999999999995</v>
      </c>
      <c r="J25" s="161">
        <f t="shared" si="0"/>
        <v>54047.999999999993</v>
      </c>
      <c r="K25" s="171">
        <f t="shared" si="6"/>
        <v>12.908526391210888</v>
      </c>
      <c r="L25" s="194">
        <f t="shared" si="7"/>
        <v>1.5013333333333332E-2</v>
      </c>
      <c r="M25" s="102">
        <v>54.048000000000002</v>
      </c>
      <c r="N25" s="2190">
        <v>54048</v>
      </c>
      <c r="O25" s="476">
        <v>12.9085</v>
      </c>
      <c r="P25" s="2189">
        <v>1.50133E-2</v>
      </c>
      <c r="Q25" s="196">
        <f t="shared" si="1"/>
        <v>-1.3146513021020208E-16</v>
      </c>
      <c r="R25" s="197">
        <f t="shared" si="2"/>
        <v>-1.3462029333524694E-16</v>
      </c>
      <c r="S25" s="197">
        <f t="shared" si="3"/>
        <v>2.0444789814068434E-6</v>
      </c>
      <c r="T25" s="198">
        <f t="shared" si="4"/>
        <v>2.2202486677220685E-6</v>
      </c>
    </row>
    <row r="26" spans="3:21" ht="15.75" thickTop="1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7"/>
      <c r="O26" s="7"/>
      <c r="P26" s="1"/>
      <c r="Q26" s="1"/>
      <c r="R26" s="1"/>
      <c r="S26" s="1"/>
      <c r="T26" s="1"/>
    </row>
    <row r="27" spans="3:21" ht="15.75" thickBot="1" x14ac:dyDescent="0.3">
      <c r="R27" s="1"/>
      <c r="S27" s="1"/>
      <c r="T27" s="1"/>
      <c r="U27" s="1"/>
    </row>
    <row r="28" spans="3:21" ht="15.75" thickTop="1" x14ac:dyDescent="0.25">
      <c r="C28" s="2488" t="s">
        <v>0</v>
      </c>
      <c r="D28" s="2489"/>
      <c r="E28" s="2489"/>
      <c r="F28" s="2489"/>
      <c r="G28" s="2489"/>
      <c r="H28" s="2495"/>
      <c r="I28" s="2483" t="s">
        <v>158</v>
      </c>
      <c r="J28" s="2484"/>
      <c r="K28" s="2485"/>
      <c r="L28" s="2488" t="s">
        <v>16</v>
      </c>
      <c r="M28" s="2489"/>
      <c r="N28" s="2495"/>
      <c r="O28" s="2483" t="s">
        <v>8</v>
      </c>
      <c r="P28" s="2484"/>
      <c r="Q28" s="2485"/>
      <c r="R28" s="1"/>
      <c r="S28" s="1"/>
      <c r="T28" s="1"/>
      <c r="U28" s="1"/>
    </row>
    <row r="29" spans="3:21" ht="15.75" thickBot="1" x14ac:dyDescent="0.3">
      <c r="C29" s="2486" t="s">
        <v>119</v>
      </c>
      <c r="D29" s="2487"/>
      <c r="E29" s="2487"/>
      <c r="F29" s="2486" t="s">
        <v>6</v>
      </c>
      <c r="G29" s="2487"/>
      <c r="H29" s="2496"/>
      <c r="I29" s="2480" t="s">
        <v>2</v>
      </c>
      <c r="J29" s="2481"/>
      <c r="K29" s="2482"/>
      <c r="L29" s="2486" t="s">
        <v>2</v>
      </c>
      <c r="M29" s="2487"/>
      <c r="N29" s="2496"/>
      <c r="O29" s="2480" t="s">
        <v>2</v>
      </c>
      <c r="P29" s="2481"/>
      <c r="Q29" s="2482"/>
      <c r="R29" s="1"/>
      <c r="S29" s="1"/>
      <c r="T29" s="1"/>
      <c r="U29" s="1"/>
    </row>
    <row r="30" spans="3:21" ht="15.75" thickBot="1" x14ac:dyDescent="0.3">
      <c r="C30" s="14" t="s">
        <v>3</v>
      </c>
      <c r="D30" s="65" t="s">
        <v>4</v>
      </c>
      <c r="E30" s="50" t="s">
        <v>18</v>
      </c>
      <c r="F30" s="14" t="s">
        <v>3</v>
      </c>
      <c r="G30" s="65" t="s">
        <v>4</v>
      </c>
      <c r="H30" s="52" t="s">
        <v>25</v>
      </c>
      <c r="I30" s="53" t="s">
        <v>13</v>
      </c>
      <c r="J30" s="79" t="s">
        <v>14</v>
      </c>
      <c r="K30" s="53" t="s">
        <v>15</v>
      </c>
      <c r="L30" s="14" t="s">
        <v>13</v>
      </c>
      <c r="M30" s="80" t="s">
        <v>14</v>
      </c>
      <c r="N30" s="52" t="s">
        <v>15</v>
      </c>
      <c r="O30" s="13" t="s">
        <v>13</v>
      </c>
      <c r="P30" s="79" t="s">
        <v>14</v>
      </c>
      <c r="Q30" s="54" t="s">
        <v>15</v>
      </c>
      <c r="R30" s="1"/>
      <c r="S30" s="1"/>
      <c r="T30" s="1"/>
      <c r="U30" s="1"/>
    </row>
    <row r="31" spans="3:21" ht="15.75" thickTop="1" x14ac:dyDescent="0.25">
      <c r="C31" s="876">
        <v>65</v>
      </c>
      <c r="D31" s="877" t="s">
        <v>24</v>
      </c>
      <c r="E31" s="875">
        <f>C31*0.74569987158227</f>
        <v>48.470491652847549</v>
      </c>
      <c r="F31" s="876">
        <v>26</v>
      </c>
      <c r="G31" s="877" t="s">
        <v>25</v>
      </c>
      <c r="H31" s="878">
        <f>F31</f>
        <v>26</v>
      </c>
      <c r="I31" s="914">
        <f>K31/3600</f>
        <v>1.4900245439944759E-4</v>
      </c>
      <c r="J31" s="915">
        <f>K31/60</f>
        <v>8.940147263966856E-3</v>
      </c>
      <c r="K31" s="914">
        <f>H31/E31</f>
        <v>0.53640883583801136</v>
      </c>
      <c r="L31" s="916">
        <v>1.4900199999999999E-4</v>
      </c>
      <c r="M31" s="917">
        <v>8.9401499999999991E-3</v>
      </c>
      <c r="N31" s="918">
        <v>0.53640900000000002</v>
      </c>
      <c r="O31" s="885">
        <f xml:space="preserve"> (I31-L31)/I31</f>
        <v>3.0496104874605513E-6</v>
      </c>
      <c r="P31" s="886">
        <f xml:space="preserve"> (J31-M31)/J31</f>
        <v>-3.0603893451846162E-7</v>
      </c>
      <c r="Q31" s="887">
        <f xml:space="preserve"> (K31-N31)/K31</f>
        <v>-3.0603893467369158E-7</v>
      </c>
      <c r="R31" s="1"/>
      <c r="S31" s="1"/>
      <c r="T31" s="1"/>
      <c r="U31" s="1"/>
    </row>
    <row r="32" spans="3:21" x14ac:dyDescent="0.25">
      <c r="C32" s="888">
        <v>0.68</v>
      </c>
      <c r="D32" s="59" t="s">
        <v>19</v>
      </c>
      <c r="E32" s="32">
        <f>C32* 9.80665 / 1000</f>
        <v>6.6685220000000005E-3</v>
      </c>
      <c r="F32" s="71">
        <v>56</v>
      </c>
      <c r="G32" s="59" t="s">
        <v>25</v>
      </c>
      <c r="H32" s="889">
        <f>F32</f>
        <v>56</v>
      </c>
      <c r="I32" s="919">
        <f t="shared" ref="I32:I50" si="8">K32/3600</f>
        <v>2.3326841473351294</v>
      </c>
      <c r="J32" s="920">
        <f t="shared" ref="J32:J50" si="9">K32/60</f>
        <v>139.96104884010776</v>
      </c>
      <c r="K32" s="919">
        <f>H32/E32</f>
        <v>8397.6629304064663</v>
      </c>
      <c r="L32" s="890">
        <v>2.3326799999999999</v>
      </c>
      <c r="M32" s="895">
        <v>139.96100000000001</v>
      </c>
      <c r="N32" s="819">
        <v>8397.66</v>
      </c>
      <c r="O32" s="897">
        <f t="shared" ref="O32:O50" si="10" xml:space="preserve"> (I32-L32)/I32</f>
        <v>1.7779239998192914E-6</v>
      </c>
      <c r="P32" s="898">
        <f t="shared" ref="P32:P50" si="11" xml:space="preserve"> (J32-M32)/J32</f>
        <v>3.4895499967031989E-7</v>
      </c>
      <c r="Q32" s="899">
        <f t="shared" ref="Q32:Q50" si="12" xml:space="preserve"> (K32-N32)/K32</f>
        <v>3.4895499983277483E-7</v>
      </c>
      <c r="R32" s="1"/>
      <c r="S32" s="1"/>
      <c r="T32" s="1"/>
      <c r="U32" s="1"/>
    </row>
    <row r="33" spans="3:21" x14ac:dyDescent="0.25">
      <c r="C33" s="71">
        <v>426</v>
      </c>
      <c r="D33" s="59" t="s">
        <v>18</v>
      </c>
      <c r="E33" s="32">
        <f>C33</f>
        <v>426</v>
      </c>
      <c r="F33" s="71">
        <v>165</v>
      </c>
      <c r="G33" s="59" t="s">
        <v>25</v>
      </c>
      <c r="H33" s="889">
        <f>F33</f>
        <v>165</v>
      </c>
      <c r="I33" s="919">
        <f t="shared" si="8"/>
        <v>1.0758998435054773E-4</v>
      </c>
      <c r="J33" s="920">
        <f t="shared" si="9"/>
        <v>6.4553990610328633E-3</v>
      </c>
      <c r="K33" s="919">
        <f>H33/E33</f>
        <v>0.38732394366197181</v>
      </c>
      <c r="L33" s="921">
        <v>1.0759E-4</v>
      </c>
      <c r="M33" s="922">
        <v>6.4554E-3</v>
      </c>
      <c r="N33" s="923">
        <v>0.387324</v>
      </c>
      <c r="O33" s="897">
        <f t="shared" si="10"/>
        <v>-1.4545454550335779E-7</v>
      </c>
      <c r="P33" s="898">
        <f t="shared" si="11"/>
        <v>-1.4545454553694836E-7</v>
      </c>
      <c r="Q33" s="899">
        <f t="shared" si="12"/>
        <v>-1.4545454550111845E-7</v>
      </c>
      <c r="R33" s="1"/>
      <c r="S33" s="1"/>
      <c r="T33" s="1"/>
      <c r="U33" s="1"/>
    </row>
    <row r="34" spans="3:21" x14ac:dyDescent="0.25">
      <c r="C34" s="71">
        <v>680</v>
      </c>
      <c r="D34" s="59" t="s">
        <v>20</v>
      </c>
      <c r="E34" s="32">
        <f>C34/1000000</f>
        <v>6.8000000000000005E-4</v>
      </c>
      <c r="F34" s="71">
        <v>1685</v>
      </c>
      <c r="G34" s="59" t="s">
        <v>25</v>
      </c>
      <c r="H34" s="889">
        <f>F34</f>
        <v>1685</v>
      </c>
      <c r="I34" s="924">
        <f t="shared" si="8"/>
        <v>688.31699346405219</v>
      </c>
      <c r="J34" s="925">
        <f t="shared" si="9"/>
        <v>41299.019607843133</v>
      </c>
      <c r="K34" s="894">
        <f t="shared" ref="K34:K50" si="13">H34/E34</f>
        <v>2477941.176470588</v>
      </c>
      <c r="L34" s="926">
        <v>688.31700000000001</v>
      </c>
      <c r="M34" s="895">
        <v>41299</v>
      </c>
      <c r="N34" s="927">
        <v>2477941</v>
      </c>
      <c r="O34" s="897">
        <f t="shared" si="10"/>
        <v>-9.4955491155710014E-9</v>
      </c>
      <c r="P34" s="898">
        <f t="shared" si="11"/>
        <v>4.7477744796067393E-7</v>
      </c>
      <c r="Q34" s="899">
        <f t="shared" si="12"/>
        <v>7.1216617100139764E-8</v>
      </c>
      <c r="R34" s="1"/>
      <c r="S34" s="1"/>
      <c r="T34" s="1"/>
      <c r="U34" s="1"/>
    </row>
    <row r="35" spans="3:21" ht="15.75" thickBot="1" x14ac:dyDescent="0.3">
      <c r="C35" s="105">
        <v>520</v>
      </c>
      <c r="D35" s="60" t="s">
        <v>21</v>
      </c>
      <c r="E35" s="55">
        <f>C35/1000</f>
        <v>0.52</v>
      </c>
      <c r="F35" s="105">
        <v>25698</v>
      </c>
      <c r="G35" s="60" t="s">
        <v>25</v>
      </c>
      <c r="H35" s="905">
        <f>F35</f>
        <v>25698</v>
      </c>
      <c r="I35" s="928">
        <f t="shared" si="8"/>
        <v>13.727564102564102</v>
      </c>
      <c r="J35" s="929">
        <f t="shared" si="9"/>
        <v>823.65384615384608</v>
      </c>
      <c r="K35" s="930">
        <f t="shared" si="13"/>
        <v>49419.230769230766</v>
      </c>
      <c r="L35" s="931">
        <v>13.727600000000001</v>
      </c>
      <c r="M35" s="932">
        <v>823.654</v>
      </c>
      <c r="N35" s="930">
        <v>49419.199999999997</v>
      </c>
      <c r="O35" s="911">
        <f t="shared" si="10"/>
        <v>-2.6149894934226405E-6</v>
      </c>
      <c r="P35" s="912">
        <f t="shared" si="11"/>
        <v>-1.8678496390155388E-7</v>
      </c>
      <c r="Q35" s="913">
        <f t="shared" si="12"/>
        <v>6.2261654602565066E-7</v>
      </c>
      <c r="R35" s="1"/>
      <c r="S35" s="1"/>
      <c r="T35" s="1"/>
      <c r="U35" s="1"/>
    </row>
    <row r="36" spans="3:21" ht="15.75" thickTop="1" x14ac:dyDescent="0.25">
      <c r="C36" s="1255">
        <v>105</v>
      </c>
      <c r="D36" s="1256" t="s">
        <v>24</v>
      </c>
      <c r="E36" s="1257">
        <f>C36*0.74569987158227</f>
        <v>78.298486516138354</v>
      </c>
      <c r="F36" s="1255">
        <v>215</v>
      </c>
      <c r="G36" s="1256" t="s">
        <v>10</v>
      </c>
      <c r="H36" s="1258">
        <f>F36/1000</f>
        <v>0.215</v>
      </c>
      <c r="I36" s="1299">
        <f t="shared" si="8"/>
        <v>7.6275065942574362E-7</v>
      </c>
      <c r="J36" s="1300">
        <f t="shared" si="9"/>
        <v>4.576503956554462E-5</v>
      </c>
      <c r="K36" s="1299">
        <f t="shared" si="13"/>
        <v>2.7459023739326771E-3</v>
      </c>
      <c r="L36" s="1301">
        <v>7.6275065942574298E-7</v>
      </c>
      <c r="M36" s="1302">
        <v>4.57650395655446E-5</v>
      </c>
      <c r="N36" s="1303">
        <v>2.7458999999999999E-3</v>
      </c>
      <c r="O36" s="1265">
        <f t="shared" si="10"/>
        <v>8.3287336771233744E-16</v>
      </c>
      <c r="P36" s="1266">
        <f t="shared" si="11"/>
        <v>4.4419912944657992E-16</v>
      </c>
      <c r="Q36" s="1267">
        <f t="shared" si="12"/>
        <v>8.6453644518017641E-7</v>
      </c>
      <c r="R36" s="1"/>
      <c r="S36" s="1"/>
      <c r="T36" s="1"/>
      <c r="U36" s="1"/>
    </row>
    <row r="37" spans="3:21" x14ac:dyDescent="0.25">
      <c r="C37" s="1268">
        <v>15</v>
      </c>
      <c r="D37" s="1269" t="s">
        <v>19</v>
      </c>
      <c r="E37" s="1254">
        <f>C37* 9.80665 / 1000</f>
        <v>0.14709975</v>
      </c>
      <c r="F37" s="1268">
        <v>46</v>
      </c>
      <c r="G37" s="1269" t="s">
        <v>10</v>
      </c>
      <c r="H37" s="1270">
        <f>F37/1000</f>
        <v>4.5999999999999999E-2</v>
      </c>
      <c r="I37" s="1304">
        <f t="shared" si="8"/>
        <v>8.6864714438860557E-5</v>
      </c>
      <c r="J37" s="1305">
        <f t="shared" si="9"/>
        <v>5.2118828663316333E-3</v>
      </c>
      <c r="K37" s="1304">
        <f t="shared" si="13"/>
        <v>0.312712971979898</v>
      </c>
      <c r="L37" s="1306">
        <v>8.6864714438860598E-5</v>
      </c>
      <c r="M37" s="1307">
        <v>5.2118800000000003E-3</v>
      </c>
      <c r="N37" s="1308">
        <v>0.31271300000000002</v>
      </c>
      <c r="O37" s="1277">
        <f t="shared" si="10"/>
        <v>-4.6805635327130581E-16</v>
      </c>
      <c r="P37" s="1278">
        <f t="shared" si="11"/>
        <v>5.499608695157849E-7</v>
      </c>
      <c r="Q37" s="1279">
        <f t="shared" si="12"/>
        <v>-8.9603260904104772E-8</v>
      </c>
      <c r="R37" s="1"/>
      <c r="S37" s="1"/>
      <c r="T37" s="1"/>
      <c r="U37" s="1"/>
    </row>
    <row r="38" spans="3:21" x14ac:dyDescent="0.25">
      <c r="C38" s="1268">
        <v>300</v>
      </c>
      <c r="D38" s="1269" t="s">
        <v>18</v>
      </c>
      <c r="E38" s="1254">
        <f>C38</f>
        <v>300</v>
      </c>
      <c r="F38" s="1268">
        <v>76</v>
      </c>
      <c r="G38" s="1269" t="s">
        <v>10</v>
      </c>
      <c r="H38" s="1270">
        <f>F38/1000</f>
        <v>7.5999999999999998E-2</v>
      </c>
      <c r="I38" s="1304">
        <f t="shared" si="8"/>
        <v>7.0370370370370364E-8</v>
      </c>
      <c r="J38" s="1305">
        <f t="shared" si="9"/>
        <v>4.222222222222222E-6</v>
      </c>
      <c r="K38" s="1304">
        <f t="shared" si="13"/>
        <v>2.5333333333333333E-4</v>
      </c>
      <c r="L38" s="1306">
        <v>7.0370370370370403E-8</v>
      </c>
      <c r="M38" s="1307">
        <v>4.2222222222222203E-6</v>
      </c>
      <c r="N38" s="1308">
        <v>2.5333300000000001E-4</v>
      </c>
      <c r="O38" s="1277">
        <f t="shared" si="10"/>
        <v>-5.642242494045916E-16</v>
      </c>
      <c r="P38" s="1278">
        <f t="shared" si="11"/>
        <v>4.0122613290993179E-16</v>
      </c>
      <c r="Q38" s="1279">
        <f t="shared" si="12"/>
        <v>1.3157894736335989E-6</v>
      </c>
      <c r="R38" s="1"/>
      <c r="S38" s="1"/>
      <c r="T38" s="1"/>
      <c r="U38" s="1"/>
    </row>
    <row r="39" spans="3:21" x14ac:dyDescent="0.25">
      <c r="C39" s="1268">
        <v>700</v>
      </c>
      <c r="D39" s="1269" t="s">
        <v>20</v>
      </c>
      <c r="E39" s="1254">
        <f>C39/1000000</f>
        <v>6.9999999999999999E-4</v>
      </c>
      <c r="F39" s="1268">
        <v>1685</v>
      </c>
      <c r="G39" s="1269" t="s">
        <v>10</v>
      </c>
      <c r="H39" s="1270">
        <f>F39/1000</f>
        <v>1.6850000000000001</v>
      </c>
      <c r="I39" s="1304">
        <f t="shared" si="8"/>
        <v>0.66865079365079372</v>
      </c>
      <c r="J39" s="1305">
        <f t="shared" si="9"/>
        <v>40.11904761904762</v>
      </c>
      <c r="K39" s="1304">
        <f t="shared" si="13"/>
        <v>2407.1428571428573</v>
      </c>
      <c r="L39" s="1306">
        <v>0.668651</v>
      </c>
      <c r="M39" s="1307">
        <v>40.119</v>
      </c>
      <c r="N39" s="1283">
        <v>2407.14</v>
      </c>
      <c r="O39" s="1277">
        <f t="shared" si="10"/>
        <v>-3.0860534113920097E-7</v>
      </c>
      <c r="P39" s="1278">
        <f t="shared" si="11"/>
        <v>1.186943620217444E-6</v>
      </c>
      <c r="Q39" s="1279">
        <f t="shared" si="12"/>
        <v>1.1869436203119017E-6</v>
      </c>
      <c r="R39" s="1"/>
      <c r="S39" s="1"/>
      <c r="T39" s="1"/>
      <c r="U39" s="1"/>
    </row>
    <row r="40" spans="3:21" ht="15.75" thickBot="1" x14ac:dyDescent="0.3">
      <c r="C40" s="1286">
        <v>1450</v>
      </c>
      <c r="D40" s="1287" t="s">
        <v>21</v>
      </c>
      <c r="E40" s="1309">
        <f>C40/1000</f>
        <v>1.45</v>
      </c>
      <c r="F40" s="1286">
        <v>2548</v>
      </c>
      <c r="G40" s="1287" t="s">
        <v>10</v>
      </c>
      <c r="H40" s="1289">
        <f>F40/1000</f>
        <v>2.548</v>
      </c>
      <c r="I40" s="1310">
        <f t="shared" si="8"/>
        <v>4.881226053639847E-4</v>
      </c>
      <c r="J40" s="1311">
        <f t="shared" si="9"/>
        <v>2.9287356321839084E-2</v>
      </c>
      <c r="K40" s="1310">
        <f t="shared" si="13"/>
        <v>1.757241379310345</v>
      </c>
      <c r="L40" s="1312">
        <v>4.8812299999999997E-4</v>
      </c>
      <c r="M40" s="1313">
        <v>2.9287400000000002E-2</v>
      </c>
      <c r="N40" s="1314">
        <v>1.7572399999999999</v>
      </c>
      <c r="O40" s="1296">
        <f t="shared" si="10"/>
        <v>-8.0847723693969907E-7</v>
      </c>
      <c r="P40" s="1297">
        <f t="shared" si="11"/>
        <v>-1.4913657770262717E-6</v>
      </c>
      <c r="Q40" s="1298">
        <f t="shared" si="12"/>
        <v>7.8492935648507244E-7</v>
      </c>
      <c r="R40" s="1"/>
      <c r="S40" s="1"/>
      <c r="T40" s="1"/>
      <c r="U40" s="1"/>
    </row>
    <row r="41" spans="3:21" ht="15.75" thickTop="1" x14ac:dyDescent="0.25">
      <c r="C41" s="128">
        <v>820</v>
      </c>
      <c r="D41" s="146" t="s">
        <v>24</v>
      </c>
      <c r="E41" s="147">
        <f>C41*0.74569987158227</f>
        <v>611.47389469746145</v>
      </c>
      <c r="F41" s="128">
        <v>147</v>
      </c>
      <c r="G41" s="146" t="s">
        <v>11</v>
      </c>
      <c r="H41" s="115">
        <f>F41*4.187</f>
        <v>615.48900000000003</v>
      </c>
      <c r="I41" s="470">
        <f t="shared" si="8"/>
        <v>2.7960174285323659E-4</v>
      </c>
      <c r="J41" s="471">
        <f t="shared" si="9"/>
        <v>1.6776104571194196E-2</v>
      </c>
      <c r="K41" s="470">
        <f t="shared" si="13"/>
        <v>1.0065662742716517</v>
      </c>
      <c r="L41" s="481">
        <v>2.79602E-4</v>
      </c>
      <c r="M41" s="467">
        <v>1.6776099999999999E-2</v>
      </c>
      <c r="N41" s="482">
        <v>1.00657</v>
      </c>
      <c r="O41" s="190">
        <f t="shared" si="10"/>
        <v>-9.1968941532884783E-7</v>
      </c>
      <c r="P41" s="191">
        <f t="shared" si="11"/>
        <v>2.7248245729950347E-7</v>
      </c>
      <c r="Q41" s="192">
        <f t="shared" si="12"/>
        <v>-3.7014237845158089E-6</v>
      </c>
      <c r="R41" s="1"/>
      <c r="S41" s="1"/>
      <c r="T41" s="1"/>
      <c r="U41" s="1"/>
    </row>
    <row r="42" spans="3:21" x14ac:dyDescent="0.25">
      <c r="C42" s="72">
        <v>22</v>
      </c>
      <c r="D42" s="62" t="s">
        <v>19</v>
      </c>
      <c r="E42" s="34">
        <f>C42* 9.80665 / 1000</f>
        <v>0.2157463</v>
      </c>
      <c r="F42" s="72">
        <v>6589</v>
      </c>
      <c r="G42" s="62" t="s">
        <v>11</v>
      </c>
      <c r="H42" s="35">
        <f>F42*4.187</f>
        <v>27588.143</v>
      </c>
      <c r="I42" s="472">
        <f t="shared" si="8"/>
        <v>35.520298867491839</v>
      </c>
      <c r="J42" s="167">
        <f t="shared" si="9"/>
        <v>2131.2179320495106</v>
      </c>
      <c r="K42" s="160">
        <f t="shared" si="13"/>
        <v>127873.07592297063</v>
      </c>
      <c r="L42" s="94">
        <v>35.520299999999999</v>
      </c>
      <c r="M42" s="167">
        <v>2131.2199999999998</v>
      </c>
      <c r="N42" s="37">
        <v>127873</v>
      </c>
      <c r="O42" s="155">
        <f t="shared" si="10"/>
        <v>-3.1883407410638339E-8</v>
      </c>
      <c r="P42" s="156">
        <f t="shared" si="11"/>
        <v>-9.7031394962716282E-7</v>
      </c>
      <c r="Q42" s="157">
        <f t="shared" si="12"/>
        <v>5.9373695426441598E-7</v>
      </c>
      <c r="R42" s="1"/>
      <c r="S42" s="1"/>
      <c r="T42" s="1"/>
      <c r="U42" s="1"/>
    </row>
    <row r="43" spans="3:21" x14ac:dyDescent="0.25">
      <c r="C43" s="72">
        <v>980</v>
      </c>
      <c r="D43" s="62" t="s">
        <v>18</v>
      </c>
      <c r="E43" s="34">
        <f>C43</f>
        <v>980</v>
      </c>
      <c r="F43" s="72">
        <v>568</v>
      </c>
      <c r="G43" s="62" t="s">
        <v>11</v>
      </c>
      <c r="H43" s="35">
        <f>F43*4.187</f>
        <v>2378.2160000000003</v>
      </c>
      <c r="I43" s="472">
        <f t="shared" si="8"/>
        <v>6.7409750566893426E-4</v>
      </c>
      <c r="J43" s="473">
        <f t="shared" si="9"/>
        <v>4.0445850340136057E-2</v>
      </c>
      <c r="K43" s="472">
        <f t="shared" si="13"/>
        <v>2.4267510204081635</v>
      </c>
      <c r="L43" s="103">
        <v>6.7409800000000004E-4</v>
      </c>
      <c r="M43" s="468">
        <v>4.04459E-2</v>
      </c>
      <c r="N43" s="99">
        <v>2.4267500000000002</v>
      </c>
      <c r="O43" s="155">
        <f t="shared" si="10"/>
        <v>-7.3332279323972634E-7</v>
      </c>
      <c r="P43" s="156">
        <f t="shared" si="11"/>
        <v>-1.2278110986814998E-6</v>
      </c>
      <c r="Q43" s="157">
        <f t="shared" si="12"/>
        <v>4.2048325300695833E-7</v>
      </c>
      <c r="R43" s="1"/>
      <c r="S43" s="1"/>
      <c r="T43" s="1"/>
      <c r="U43" s="1"/>
    </row>
    <row r="44" spans="3:21" x14ac:dyDescent="0.25">
      <c r="C44" s="72">
        <v>120</v>
      </c>
      <c r="D44" s="62" t="s">
        <v>20</v>
      </c>
      <c r="E44" s="34">
        <f>C44/1000000</f>
        <v>1.2E-4</v>
      </c>
      <c r="F44" s="72">
        <v>2659</v>
      </c>
      <c r="G44" s="62" t="s">
        <v>11</v>
      </c>
      <c r="H44" s="35">
        <f>F44*4.187</f>
        <v>11133.233</v>
      </c>
      <c r="I44" s="160">
        <f t="shared" si="8"/>
        <v>25771.372685185186</v>
      </c>
      <c r="J44" s="167">
        <f t="shared" si="9"/>
        <v>1546282.3611111112</v>
      </c>
      <c r="K44" s="160">
        <f t="shared" si="13"/>
        <v>92776941.666666672</v>
      </c>
      <c r="L44" s="168">
        <v>25771.4</v>
      </c>
      <c r="M44" s="154">
        <v>1546282</v>
      </c>
      <c r="N44" s="159">
        <v>92776942</v>
      </c>
      <c r="O44" s="155">
        <f t="shared" si="10"/>
        <v>-1.0598897912422374E-6</v>
      </c>
      <c r="P44" s="156">
        <f t="shared" si="11"/>
        <v>2.3353503882756449E-7</v>
      </c>
      <c r="Q44" s="157">
        <f t="shared" si="12"/>
        <v>-3.5928466963687501E-9</v>
      </c>
      <c r="R44" s="1"/>
      <c r="S44" s="1"/>
      <c r="T44" s="1"/>
      <c r="U44" s="1"/>
    </row>
    <row r="45" spans="3:21" ht="15.75" thickBot="1" x14ac:dyDescent="0.3">
      <c r="C45" s="106">
        <v>490</v>
      </c>
      <c r="D45" s="63" t="s">
        <v>21</v>
      </c>
      <c r="E45" s="39">
        <f>C45/1000</f>
        <v>0.49</v>
      </c>
      <c r="F45" s="106">
        <v>248</v>
      </c>
      <c r="G45" s="63" t="s">
        <v>11</v>
      </c>
      <c r="H45" s="40">
        <f>F45*4.187</f>
        <v>1038.376</v>
      </c>
      <c r="I45" s="102">
        <f t="shared" si="8"/>
        <v>0.5886485260770975</v>
      </c>
      <c r="J45" s="476">
        <f t="shared" si="9"/>
        <v>35.31891156462585</v>
      </c>
      <c r="K45" s="170">
        <f t="shared" si="13"/>
        <v>2119.1346938775509</v>
      </c>
      <c r="L45" s="279">
        <v>0.58864899999999998</v>
      </c>
      <c r="M45" s="171">
        <v>35.318899999999999</v>
      </c>
      <c r="N45" s="170">
        <v>2119.13</v>
      </c>
      <c r="O45" s="162">
        <f t="shared" si="10"/>
        <v>-8.0510335366986999E-7</v>
      </c>
      <c r="P45" s="163">
        <f t="shared" si="11"/>
        <v>3.2743437830928954E-7</v>
      </c>
      <c r="Q45" s="164">
        <f t="shared" si="12"/>
        <v>2.2149972648724861E-6</v>
      </c>
      <c r="R45" s="1"/>
      <c r="S45" s="1"/>
      <c r="T45" s="1"/>
      <c r="U45" s="1"/>
    </row>
    <row r="46" spans="3:21" ht="15.75" thickTop="1" x14ac:dyDescent="0.25">
      <c r="C46" s="203">
        <v>360</v>
      </c>
      <c r="D46" s="204" t="s">
        <v>24</v>
      </c>
      <c r="E46" s="205">
        <f>C46*0.74569987158227</f>
        <v>268.45195376961721</v>
      </c>
      <c r="F46" s="203">
        <v>2658</v>
      </c>
      <c r="G46" s="204" t="s">
        <v>12</v>
      </c>
      <c r="H46" s="206">
        <f>F46*3600</f>
        <v>9568800</v>
      </c>
      <c r="I46" s="353">
        <f t="shared" si="8"/>
        <v>9.9012130948432926</v>
      </c>
      <c r="J46" s="477">
        <f t="shared" si="9"/>
        <v>594.07278569059758</v>
      </c>
      <c r="K46" s="207">
        <f t="shared" si="13"/>
        <v>35644.367141435854</v>
      </c>
      <c r="L46" s="351">
        <v>9.9012100000000007</v>
      </c>
      <c r="M46" s="208">
        <v>594.07299999999998</v>
      </c>
      <c r="N46" s="209">
        <v>35644.400000000001</v>
      </c>
      <c r="O46" s="210">
        <f t="shared" si="10"/>
        <v>3.1257213254746445E-7</v>
      </c>
      <c r="P46" s="211">
        <f t="shared" si="11"/>
        <v>-3.60746035767055E-7</v>
      </c>
      <c r="Q46" s="212">
        <f t="shared" si="12"/>
        <v>-9.218445095949209E-7</v>
      </c>
      <c r="R46" s="1"/>
      <c r="S46" s="1"/>
      <c r="T46" s="1"/>
      <c r="U46" s="1"/>
    </row>
    <row r="47" spans="3:21" x14ac:dyDescent="0.25">
      <c r="C47" s="213">
        <v>120</v>
      </c>
      <c r="D47" s="214" t="s">
        <v>19</v>
      </c>
      <c r="E47" s="215">
        <f>C47* 9.80665 / 1000</f>
        <v>1.176798</v>
      </c>
      <c r="F47" s="213">
        <v>26</v>
      </c>
      <c r="G47" s="214" t="s">
        <v>12</v>
      </c>
      <c r="H47" s="216">
        <f>F47*3600</f>
        <v>93600</v>
      </c>
      <c r="I47" s="357">
        <f t="shared" si="8"/>
        <v>22.093851281188442</v>
      </c>
      <c r="J47" s="218">
        <f t="shared" si="9"/>
        <v>1325.6310768713067</v>
      </c>
      <c r="K47" s="217">
        <f t="shared" si="13"/>
        <v>79537.864612278398</v>
      </c>
      <c r="L47" s="374">
        <v>22.093900000000001</v>
      </c>
      <c r="M47" s="218">
        <v>1325.63</v>
      </c>
      <c r="N47" s="220">
        <v>79537.899999999994</v>
      </c>
      <c r="O47" s="221">
        <f t="shared" si="10"/>
        <v>-2.2050846155868241E-6</v>
      </c>
      <c r="P47" s="222">
        <f t="shared" si="11"/>
        <v>8.1234615377627421E-7</v>
      </c>
      <c r="Q47" s="223">
        <f t="shared" si="12"/>
        <v>-4.449166666610771E-7</v>
      </c>
      <c r="R47" s="1"/>
      <c r="S47" s="1"/>
      <c r="T47" s="1"/>
      <c r="U47" s="1"/>
    </row>
    <row r="48" spans="3:21" x14ac:dyDescent="0.25">
      <c r="C48" s="213">
        <v>1001</v>
      </c>
      <c r="D48" s="214" t="s">
        <v>18</v>
      </c>
      <c r="E48" s="215">
        <f>C48</f>
        <v>1001</v>
      </c>
      <c r="F48" s="213">
        <v>732</v>
      </c>
      <c r="G48" s="214" t="s">
        <v>12</v>
      </c>
      <c r="H48" s="216">
        <f>F48*3600</f>
        <v>2635200</v>
      </c>
      <c r="I48" s="357">
        <f t="shared" si="8"/>
        <v>0.73126873126873126</v>
      </c>
      <c r="J48" s="478">
        <f t="shared" si="9"/>
        <v>43.876123876123877</v>
      </c>
      <c r="K48" s="217">
        <f t="shared" si="13"/>
        <v>2632.5674325674327</v>
      </c>
      <c r="L48" s="358">
        <v>0.73126899999999995</v>
      </c>
      <c r="M48" s="483">
        <v>43.876100000000001</v>
      </c>
      <c r="N48" s="220">
        <v>2632.57</v>
      </c>
      <c r="O48" s="221">
        <f t="shared" si="10"/>
        <v>-3.6748633873072656E-7</v>
      </c>
      <c r="P48" s="222">
        <f t="shared" si="11"/>
        <v>5.4417122040293867E-7</v>
      </c>
      <c r="Q48" s="223">
        <f t="shared" si="12"/>
        <v>-9.7525804495681335E-7</v>
      </c>
      <c r="R48" s="1"/>
      <c r="S48" s="1"/>
      <c r="T48" s="1"/>
      <c r="U48" s="1"/>
    </row>
    <row r="49" spans="3:23" x14ac:dyDescent="0.25">
      <c r="C49" s="224">
        <v>0.15</v>
      </c>
      <c r="D49" s="214" t="s">
        <v>20</v>
      </c>
      <c r="E49" s="215">
        <f>C49/1000000</f>
        <v>1.4999999999999999E-7</v>
      </c>
      <c r="F49" s="213">
        <v>89</v>
      </c>
      <c r="G49" s="214" t="s">
        <v>12</v>
      </c>
      <c r="H49" s="216">
        <f>F49*3600</f>
        <v>320400</v>
      </c>
      <c r="I49" s="217">
        <f t="shared" si="8"/>
        <v>593333333.33333337</v>
      </c>
      <c r="J49" s="225">
        <f t="shared" si="9"/>
        <v>35600000000</v>
      </c>
      <c r="K49" s="226">
        <f t="shared" si="13"/>
        <v>2136000000000</v>
      </c>
      <c r="L49" s="213">
        <v>593333333</v>
      </c>
      <c r="M49" s="225">
        <v>35600000000</v>
      </c>
      <c r="N49" s="226">
        <v>2136000000000</v>
      </c>
      <c r="O49" s="221">
        <f t="shared" si="10"/>
        <v>5.6179781978049974E-10</v>
      </c>
      <c r="P49" s="222">
        <f t="shared" si="11"/>
        <v>0</v>
      </c>
      <c r="Q49" s="223">
        <f t="shared" si="12"/>
        <v>0</v>
      </c>
      <c r="R49" s="1"/>
      <c r="S49" s="1"/>
      <c r="T49" s="1"/>
      <c r="U49" s="1"/>
    </row>
    <row r="50" spans="3:23" ht="15.75" thickBot="1" x14ac:dyDescent="0.3">
      <c r="C50" s="227">
        <v>4800</v>
      </c>
      <c r="D50" s="228" t="s">
        <v>21</v>
      </c>
      <c r="E50" s="229">
        <f>C50/1000</f>
        <v>4.8</v>
      </c>
      <c r="F50" s="227">
        <v>698</v>
      </c>
      <c r="G50" s="228" t="s">
        <v>12</v>
      </c>
      <c r="H50" s="230">
        <f>F50*3600</f>
        <v>2512800</v>
      </c>
      <c r="I50" s="474">
        <f t="shared" si="8"/>
        <v>145.41666666666666</v>
      </c>
      <c r="J50" s="475">
        <f t="shared" si="9"/>
        <v>8725</v>
      </c>
      <c r="K50" s="474">
        <f t="shared" si="13"/>
        <v>523500</v>
      </c>
      <c r="L50" s="233">
        <v>145.417</v>
      </c>
      <c r="M50" s="469">
        <v>8725</v>
      </c>
      <c r="N50" s="232">
        <v>523500</v>
      </c>
      <c r="O50" s="234">
        <f t="shared" si="10"/>
        <v>-2.2922636103912818E-6</v>
      </c>
      <c r="P50" s="235">
        <f t="shared" si="11"/>
        <v>0</v>
      </c>
      <c r="Q50" s="236">
        <f t="shared" si="12"/>
        <v>0</v>
      </c>
      <c r="R50" s="1"/>
      <c r="S50" s="1"/>
      <c r="T50" s="1"/>
      <c r="U50" s="1"/>
    </row>
    <row r="51" spans="3:23" ht="15.75" thickTop="1" x14ac:dyDescent="0.25">
      <c r="I51" s="25"/>
      <c r="J51" s="25"/>
      <c r="K51" s="25"/>
    </row>
    <row r="52" spans="3:23" ht="15.75" thickBot="1" x14ac:dyDescent="0.3"/>
    <row r="53" spans="3:23" ht="15.75" thickTop="1" x14ac:dyDescent="0.25">
      <c r="C53" s="2488" t="s">
        <v>0</v>
      </c>
      <c r="D53" s="2489"/>
      <c r="E53" s="2489"/>
      <c r="F53" s="2489"/>
      <c r="G53" s="2489"/>
      <c r="H53" s="2495"/>
      <c r="I53" s="2483" t="s">
        <v>158</v>
      </c>
      <c r="J53" s="2484"/>
      <c r="K53" s="2484"/>
      <c r="L53" s="2484"/>
      <c r="M53" s="2485"/>
      <c r="N53" s="2488" t="s">
        <v>16</v>
      </c>
      <c r="O53" s="2489"/>
      <c r="P53" s="2489"/>
      <c r="Q53" s="2489"/>
      <c r="R53" s="2489"/>
      <c r="S53" s="2483" t="s">
        <v>8</v>
      </c>
      <c r="T53" s="2484"/>
      <c r="U53" s="2484"/>
      <c r="V53" s="2484"/>
      <c r="W53" s="2485"/>
    </row>
    <row r="54" spans="3:23" ht="15.75" thickBot="1" x14ac:dyDescent="0.3">
      <c r="C54" s="2486" t="s">
        <v>2</v>
      </c>
      <c r="D54" s="2487"/>
      <c r="E54" s="2487"/>
      <c r="F54" s="2486" t="s">
        <v>6</v>
      </c>
      <c r="G54" s="2487"/>
      <c r="H54" s="2496"/>
      <c r="I54" s="2480" t="s">
        <v>119</v>
      </c>
      <c r="J54" s="2481"/>
      <c r="K54" s="2481"/>
      <c r="L54" s="2481"/>
      <c r="M54" s="2481"/>
      <c r="N54" s="2486" t="s">
        <v>119</v>
      </c>
      <c r="O54" s="2487"/>
      <c r="P54" s="2487"/>
      <c r="Q54" s="2487"/>
      <c r="R54" s="2487"/>
      <c r="S54" s="2480" t="s">
        <v>119</v>
      </c>
      <c r="T54" s="2481"/>
      <c r="U54" s="2481"/>
      <c r="V54" s="2481"/>
      <c r="W54" s="2482"/>
    </row>
    <row r="55" spans="3:23" ht="15.75" thickBot="1" x14ac:dyDescent="0.3">
      <c r="C55" s="57" t="s">
        <v>3</v>
      </c>
      <c r="D55" s="65" t="s">
        <v>4</v>
      </c>
      <c r="E55" s="50" t="s">
        <v>15</v>
      </c>
      <c r="F55" s="14" t="s">
        <v>3</v>
      </c>
      <c r="G55" s="65" t="s">
        <v>4</v>
      </c>
      <c r="H55" s="52" t="s">
        <v>25</v>
      </c>
      <c r="I55" s="13" t="s">
        <v>24</v>
      </c>
      <c r="J55" s="79" t="s">
        <v>19</v>
      </c>
      <c r="K55" s="79" t="s">
        <v>18</v>
      </c>
      <c r="L55" s="79" t="s">
        <v>20</v>
      </c>
      <c r="M55" s="54" t="s">
        <v>21</v>
      </c>
      <c r="N55" s="14" t="s">
        <v>24</v>
      </c>
      <c r="O55" s="80" t="s">
        <v>19</v>
      </c>
      <c r="P55" s="80" t="s">
        <v>18</v>
      </c>
      <c r="Q55" s="80" t="s">
        <v>20</v>
      </c>
      <c r="R55" s="52" t="s">
        <v>21</v>
      </c>
      <c r="S55" s="13" t="s">
        <v>24</v>
      </c>
      <c r="T55" s="79" t="s">
        <v>19</v>
      </c>
      <c r="U55" s="79" t="s">
        <v>18</v>
      </c>
      <c r="V55" s="79" t="s">
        <v>20</v>
      </c>
      <c r="W55" s="54" t="s">
        <v>21</v>
      </c>
    </row>
    <row r="56" spans="3:23" ht="15.75" thickTop="1" x14ac:dyDescent="0.25">
      <c r="C56" s="876">
        <v>24</v>
      </c>
      <c r="D56" s="877" t="s">
        <v>13</v>
      </c>
      <c r="E56" s="875">
        <f>C56*3600</f>
        <v>86400</v>
      </c>
      <c r="F56" s="876">
        <v>26</v>
      </c>
      <c r="G56" s="877" t="s">
        <v>25</v>
      </c>
      <c r="H56" s="878">
        <f>F56</f>
        <v>26</v>
      </c>
      <c r="I56" s="933">
        <f>K56/0.74569987158227</f>
        <v>4.0354831399850389E-4</v>
      </c>
      <c r="J56" s="934">
        <f>K56*1000/9.80665</f>
        <v>3.0685904557206177E-2</v>
      </c>
      <c r="K56" s="934">
        <f>H56/E56</f>
        <v>3.0092592592592595E-4</v>
      </c>
      <c r="L56" s="935">
        <f>K56*1000000</f>
        <v>300.92592592592592</v>
      </c>
      <c r="M56" s="936">
        <f>K56*1000</f>
        <v>0.30092592592592593</v>
      </c>
      <c r="N56" s="933">
        <v>4.0354799999999999E-4</v>
      </c>
      <c r="O56" s="934">
        <v>3.0685899999999999E-2</v>
      </c>
      <c r="P56" s="934">
        <v>3.0092600000000003E-4</v>
      </c>
      <c r="Q56" s="934">
        <v>300.92599999999999</v>
      </c>
      <c r="R56" s="936">
        <v>0.30092600000000003</v>
      </c>
      <c r="S56" s="885">
        <f xml:space="preserve"> (I56-N56)/I56</f>
        <v>7.7809395556720556E-7</v>
      </c>
      <c r="T56" s="886">
        <f xml:space="preserve"> (J56-O56)/J56</f>
        <v>1.4851138475974489E-7</v>
      </c>
      <c r="U56" s="886">
        <f xml:space="preserve"> (K56-P56)/K56</f>
        <v>-2.4615384616439389E-7</v>
      </c>
      <c r="V56" s="886">
        <f xml:space="preserve"> (L56-Q56)/L56</f>
        <v>-2.4615384612004092E-7</v>
      </c>
      <c r="W56" s="887">
        <f xml:space="preserve"> (M56-R56)/M56</f>
        <v>-2.4615384622924586E-7</v>
      </c>
    </row>
    <row r="57" spans="3:23" x14ac:dyDescent="0.25">
      <c r="C57" s="71">
        <v>5462</v>
      </c>
      <c r="D57" s="59" t="s">
        <v>14</v>
      </c>
      <c r="E57" s="32">
        <f>C57*60</f>
        <v>327720</v>
      </c>
      <c r="F57" s="71">
        <v>56</v>
      </c>
      <c r="G57" s="59" t="s">
        <v>25</v>
      </c>
      <c r="H57" s="889">
        <f>F57</f>
        <v>56</v>
      </c>
      <c r="I57" s="940">
        <f t="shared" ref="I57:I67" si="14">K57/0.74569987158227</f>
        <v>2.2915060727853528E-4</v>
      </c>
      <c r="J57" s="925">
        <f t="shared" ref="J57:J67" si="15">K57*1000/9.80665</f>
        <v>1.742466371498962E-2</v>
      </c>
      <c r="K57" s="925">
        <f t="shared" ref="K57:K67" si="16">H57/E57</f>
        <v>1.7087757842060294E-4</v>
      </c>
      <c r="L57" s="895">
        <f t="shared" ref="L57:L67" si="17">K57*1000000</f>
        <v>170.87757842060293</v>
      </c>
      <c r="M57" s="941">
        <f t="shared" ref="M57:M67" si="18">K57*1000</f>
        <v>0.17087757842060294</v>
      </c>
      <c r="N57" s="940">
        <v>2.29151E-4</v>
      </c>
      <c r="O57" s="925">
        <v>1.7424700000000001E-2</v>
      </c>
      <c r="P57" s="925">
        <v>1.7087800000000001E-4</v>
      </c>
      <c r="Q57" s="925">
        <v>170.87799999999999</v>
      </c>
      <c r="R57" s="941">
        <v>0.170878</v>
      </c>
      <c r="S57" s="897">
        <f t="shared" ref="S57:S67" si="19" xml:space="preserve"> (I57-N57)/I57</f>
        <v>-1.7138137637391291E-6</v>
      </c>
      <c r="T57" s="898">
        <f t="shared" ref="T57:T67" si="20" xml:space="preserve"> (J57-O57)/J57</f>
        <v>-2.0823937250814051E-6</v>
      </c>
      <c r="U57" s="898">
        <f t="shared" ref="U57:U67" si="21" xml:space="preserve"> (K57-P57)/K57</f>
        <v>-2.4671428572820886E-6</v>
      </c>
      <c r="V57" s="898">
        <f t="shared" ref="V57:V67" si="22" xml:space="preserve"> (L57-Q57)/L57</f>
        <v>-2.4671428571992395E-6</v>
      </c>
      <c r="W57" s="899">
        <f t="shared" ref="W57:W67" si="23" xml:space="preserve"> (M57-R57)/M57</f>
        <v>-2.4671428572148325E-6</v>
      </c>
    </row>
    <row r="58" spans="3:23" ht="15.75" thickBot="1" x14ac:dyDescent="0.3">
      <c r="C58" s="105">
        <v>36542</v>
      </c>
      <c r="D58" s="60" t="s">
        <v>15</v>
      </c>
      <c r="E58" s="55">
        <f>C58</f>
        <v>36542</v>
      </c>
      <c r="F58" s="105">
        <v>165</v>
      </c>
      <c r="G58" s="60" t="s">
        <v>25</v>
      </c>
      <c r="H58" s="905">
        <f>F58</f>
        <v>165</v>
      </c>
      <c r="I58" s="943">
        <f t="shared" si="14"/>
        <v>6.0551870391106037E-3</v>
      </c>
      <c r="J58" s="929">
        <f t="shared" si="15"/>
        <v>0.46043778430671056</v>
      </c>
      <c r="K58" s="929">
        <f t="shared" si="16"/>
        <v>4.5153521974714032E-3</v>
      </c>
      <c r="L58" s="932">
        <f t="shared" si="17"/>
        <v>4515.3521974714031</v>
      </c>
      <c r="M58" s="944">
        <f t="shared" si="18"/>
        <v>4.5153521974714028</v>
      </c>
      <c r="N58" s="943">
        <v>6.0551900000000002E-3</v>
      </c>
      <c r="O58" s="929">
        <v>0.46043800000000001</v>
      </c>
      <c r="P58" s="929">
        <v>4.5153499999999996E-3</v>
      </c>
      <c r="Q58" s="929">
        <v>4515.3500000000004</v>
      </c>
      <c r="R58" s="944">
        <v>4.5153499999999998</v>
      </c>
      <c r="S58" s="945">
        <f t="shared" si="19"/>
        <v>-4.8898396984050367E-7</v>
      </c>
      <c r="T58" s="946">
        <f t="shared" si="20"/>
        <v>-4.6845262661545651E-7</v>
      </c>
      <c r="U58" s="946">
        <f t="shared" si="21"/>
        <v>4.8666666685656199E-7</v>
      </c>
      <c r="V58" s="946">
        <f t="shared" si="22"/>
        <v>4.8666666665655306E-7</v>
      </c>
      <c r="W58" s="947">
        <f t="shared" si="23"/>
        <v>4.8666666673208658E-7</v>
      </c>
    </row>
    <row r="59" spans="3:23" ht="15.75" thickTop="1" x14ac:dyDescent="0.25">
      <c r="C59" s="1255">
        <v>37</v>
      </c>
      <c r="D59" s="1256" t="s">
        <v>13</v>
      </c>
      <c r="E59" s="1257">
        <f>C59*3600</f>
        <v>133200</v>
      </c>
      <c r="F59" s="1255">
        <v>466</v>
      </c>
      <c r="G59" s="1256" t="s">
        <v>10</v>
      </c>
      <c r="H59" s="1258">
        <f>F59/1000</f>
        <v>0.46600000000000003</v>
      </c>
      <c r="I59" s="1315">
        <f t="shared" si="14"/>
        <v>4.6915637669015253E-6</v>
      </c>
      <c r="J59" s="1316">
        <f t="shared" si="15"/>
        <v>3.5674756399978576E-4</v>
      </c>
      <c r="K59" s="1302">
        <f t="shared" si="16"/>
        <v>3.4984984984984987E-6</v>
      </c>
      <c r="L59" s="1302">
        <f t="shared" si="17"/>
        <v>3.4984984984984986</v>
      </c>
      <c r="M59" s="1317">
        <f t="shared" si="18"/>
        <v>3.4984984984984986E-3</v>
      </c>
      <c r="N59" s="2266">
        <v>4.6915637669015202E-6</v>
      </c>
      <c r="O59" s="1316">
        <v>3.5674799999999999E-4</v>
      </c>
      <c r="P59" s="1316">
        <v>3.4984984984985E-6</v>
      </c>
      <c r="Q59" s="1316">
        <v>3.4984999999999999</v>
      </c>
      <c r="R59" s="2267">
        <v>3.4984999999999999E-3</v>
      </c>
      <c r="S59" s="1319">
        <f t="shared" si="19"/>
        <v>1.0832630517313132E-15</v>
      </c>
      <c r="T59" s="1320">
        <f t="shared" si="20"/>
        <v>-1.2221533045455205E-6</v>
      </c>
      <c r="U59" s="1320">
        <f t="shared" si="21"/>
        <v>-3.631699203034532E-16</v>
      </c>
      <c r="V59" s="1320">
        <f t="shared" si="22"/>
        <v>-4.2918454931443533E-7</v>
      </c>
      <c r="W59" s="1321">
        <f t="shared" si="23"/>
        <v>-4.2918454928666784E-7</v>
      </c>
    </row>
    <row r="60" spans="3:23" x14ac:dyDescent="0.25">
      <c r="C60" s="1268">
        <v>56</v>
      </c>
      <c r="D60" s="1269" t="s">
        <v>14</v>
      </c>
      <c r="E60" s="1254">
        <f>C60*60</f>
        <v>3360</v>
      </c>
      <c r="F60" s="1268">
        <v>12546</v>
      </c>
      <c r="G60" s="1269" t="s">
        <v>10</v>
      </c>
      <c r="H60" s="1270">
        <f>F60/1000</f>
        <v>12.545999999999999</v>
      </c>
      <c r="I60" s="1322">
        <f t="shared" si="14"/>
        <v>5.0072806952557213E-3</v>
      </c>
      <c r="J60" s="1323">
        <f t="shared" si="15"/>
        <v>0.38075475023872285</v>
      </c>
      <c r="K60" s="1323">
        <f t="shared" si="16"/>
        <v>3.7339285714285712E-3</v>
      </c>
      <c r="L60" s="1284">
        <f t="shared" si="17"/>
        <v>3733.9285714285711</v>
      </c>
      <c r="M60" s="1324">
        <f t="shared" si="18"/>
        <v>3.7339285714285713</v>
      </c>
      <c r="N60" s="1433">
        <v>5.0072800000000002E-3</v>
      </c>
      <c r="O60" s="1323">
        <v>0.38075500000000001</v>
      </c>
      <c r="P60" s="1323">
        <v>3.7339299999999999E-3</v>
      </c>
      <c r="Q60" s="1323">
        <v>3733.93</v>
      </c>
      <c r="R60" s="2268">
        <v>3.73393</v>
      </c>
      <c r="S60" s="1277">
        <f t="shared" si="19"/>
        <v>1.3884896081603444E-7</v>
      </c>
      <c r="T60" s="1278">
        <f t="shared" si="20"/>
        <v>-6.5596365377857968E-7</v>
      </c>
      <c r="U60" s="1278">
        <f t="shared" si="21"/>
        <v>-3.8259206124564225E-7</v>
      </c>
      <c r="V60" s="1278">
        <f t="shared" si="22"/>
        <v>-3.8259206125787754E-7</v>
      </c>
      <c r="W60" s="1279">
        <f t="shared" si="23"/>
        <v>-3.8259206125121727E-7</v>
      </c>
    </row>
    <row r="61" spans="3:23" ht="15.75" thickBot="1" x14ac:dyDescent="0.3">
      <c r="C61" s="1286">
        <v>456</v>
      </c>
      <c r="D61" s="1287" t="s">
        <v>15</v>
      </c>
      <c r="E61" s="1309">
        <f>C61</f>
        <v>456</v>
      </c>
      <c r="F61" s="1286">
        <v>8964</v>
      </c>
      <c r="G61" s="1287" t="s">
        <v>10</v>
      </c>
      <c r="H61" s="1289">
        <f>F61/1000</f>
        <v>8.9640000000000004</v>
      </c>
      <c r="I61" s="1325">
        <f t="shared" si="14"/>
        <v>2.6361671077039111E-2</v>
      </c>
      <c r="J61" s="1326">
        <f t="shared" si="15"/>
        <v>2.004547397617138</v>
      </c>
      <c r="K61" s="1326">
        <f t="shared" si="16"/>
        <v>1.9657894736842107E-2</v>
      </c>
      <c r="L61" s="1327">
        <f t="shared" si="17"/>
        <v>19657.894736842107</v>
      </c>
      <c r="M61" s="1328">
        <f t="shared" si="18"/>
        <v>19.657894736842106</v>
      </c>
      <c r="N61" s="2269">
        <v>2.6361699999999998E-2</v>
      </c>
      <c r="O61" s="1326">
        <v>2.0045500000000001</v>
      </c>
      <c r="P61" s="1326">
        <v>1.9657899999999999E-2</v>
      </c>
      <c r="Q61" s="1326">
        <v>19657.900000000001</v>
      </c>
      <c r="R61" s="2270">
        <v>19.657900000000001</v>
      </c>
      <c r="S61" s="1329">
        <f t="shared" si="19"/>
        <v>-1.0971596149154496E-6</v>
      </c>
      <c r="T61" s="1330">
        <f t="shared" si="20"/>
        <v>-1.2982396251578304E-6</v>
      </c>
      <c r="U61" s="1330">
        <f t="shared" si="21"/>
        <v>-2.6773761700357122E-7</v>
      </c>
      <c r="V61" s="1330">
        <f t="shared" si="22"/>
        <v>-2.6773761713131136E-7</v>
      </c>
      <c r="W61" s="1331">
        <f t="shared" si="23"/>
        <v>-2.6773761716311935E-7</v>
      </c>
    </row>
    <row r="62" spans="3:23" ht="15.75" thickTop="1" x14ac:dyDescent="0.25">
      <c r="C62" s="128">
        <v>789</v>
      </c>
      <c r="D62" s="146" t="s">
        <v>13</v>
      </c>
      <c r="E62" s="147">
        <f>C62*3600</f>
        <v>2840400</v>
      </c>
      <c r="F62" s="128">
        <v>245</v>
      </c>
      <c r="G62" s="146" t="s">
        <v>11</v>
      </c>
      <c r="H62" s="115">
        <f>F62*4.187</f>
        <v>1025.8150000000001</v>
      </c>
      <c r="I62" s="479">
        <f t="shared" si="14"/>
        <v>4.8431227110193076E-4</v>
      </c>
      <c r="J62" s="466">
        <f t="shared" si="15"/>
        <v>3.6827214019713901E-2</v>
      </c>
      <c r="K62" s="466">
        <f t="shared" si="16"/>
        <v>3.611515983664273E-4</v>
      </c>
      <c r="L62" s="166">
        <f t="shared" si="17"/>
        <v>361.15159836642732</v>
      </c>
      <c r="M62" s="480">
        <f t="shared" si="18"/>
        <v>0.3611515983664273</v>
      </c>
      <c r="N62" s="165">
        <v>4.8431199999999998E-4</v>
      </c>
      <c r="O62" s="166">
        <v>3.6827199999999997E-2</v>
      </c>
      <c r="P62" s="166">
        <v>3.61152E-4</v>
      </c>
      <c r="Q62" s="166">
        <v>361.15199999999999</v>
      </c>
      <c r="R62" s="199">
        <v>0.36115199999999997</v>
      </c>
      <c r="S62" s="200">
        <f t="shared" si="19"/>
        <v>5.5976680120838279E-7</v>
      </c>
      <c r="T62" s="201">
        <f t="shared" si="20"/>
        <v>3.8068896268355521E-7</v>
      </c>
      <c r="U62" s="201">
        <f t="shared" si="21"/>
        <v>-1.1120913614014964E-6</v>
      </c>
      <c r="V62" s="201">
        <f t="shared" si="22"/>
        <v>-1.1120913613045943E-6</v>
      </c>
      <c r="W62" s="202">
        <f t="shared" si="23"/>
        <v>-1.1120913613402542E-6</v>
      </c>
    </row>
    <row r="63" spans="3:23" x14ac:dyDescent="0.25">
      <c r="C63" s="72">
        <v>654</v>
      </c>
      <c r="D63" s="62" t="s">
        <v>14</v>
      </c>
      <c r="E63" s="34">
        <f>C63*60</f>
        <v>39240</v>
      </c>
      <c r="F63" s="72">
        <v>1256</v>
      </c>
      <c r="G63" s="62" t="s">
        <v>11</v>
      </c>
      <c r="H63" s="35">
        <f>F63*4.187</f>
        <v>5258.8720000000003</v>
      </c>
      <c r="I63" s="287">
        <f t="shared" si="14"/>
        <v>0.17972129251663571</v>
      </c>
      <c r="J63" s="454">
        <f t="shared" si="15"/>
        <v>13.666047503505768</v>
      </c>
      <c r="K63" s="454">
        <f t="shared" si="16"/>
        <v>0.13401814475025484</v>
      </c>
      <c r="L63" s="167">
        <f t="shared" si="17"/>
        <v>134018.14475025484</v>
      </c>
      <c r="M63" s="169">
        <f t="shared" si="18"/>
        <v>134.01814475025483</v>
      </c>
      <c r="N63" s="160">
        <v>0.17972099999999999</v>
      </c>
      <c r="O63" s="174">
        <v>13.666</v>
      </c>
      <c r="P63" s="167">
        <v>0.134018</v>
      </c>
      <c r="Q63" s="154">
        <v>134018</v>
      </c>
      <c r="R63" s="2271">
        <v>134.018</v>
      </c>
      <c r="S63" s="155">
        <f t="shared" si="19"/>
        <v>1.6276125751332384E-6</v>
      </c>
      <c r="T63" s="156">
        <f t="shared" si="20"/>
        <v>3.4760237555901991E-6</v>
      </c>
      <c r="U63" s="156">
        <f t="shared" si="21"/>
        <v>1.0800795303330007E-6</v>
      </c>
      <c r="V63" s="156">
        <f t="shared" si="22"/>
        <v>1.0800795303474482E-6</v>
      </c>
      <c r="W63" s="157">
        <f t="shared" si="23"/>
        <v>1.0800795302965506E-6</v>
      </c>
    </row>
    <row r="64" spans="3:23" ht="15.75" thickBot="1" x14ac:dyDescent="0.3">
      <c r="C64" s="106">
        <v>13</v>
      </c>
      <c r="D64" s="63" t="s">
        <v>15</v>
      </c>
      <c r="E64" s="39">
        <f>C64</f>
        <v>13</v>
      </c>
      <c r="F64" s="106">
        <v>2548</v>
      </c>
      <c r="G64" s="63" t="s">
        <v>11</v>
      </c>
      <c r="H64" s="40">
        <f>F64*4.187</f>
        <v>10668.476000000001</v>
      </c>
      <c r="I64" s="172">
        <f t="shared" si="14"/>
        <v>1100.5124598703392</v>
      </c>
      <c r="J64" s="171">
        <f t="shared" si="15"/>
        <v>83683.214961276288</v>
      </c>
      <c r="K64" s="171">
        <f t="shared" si="16"/>
        <v>820.65200000000004</v>
      </c>
      <c r="L64" s="161">
        <f t="shared" si="17"/>
        <v>820652000</v>
      </c>
      <c r="M64" s="289">
        <f t="shared" si="18"/>
        <v>820652</v>
      </c>
      <c r="N64" s="41">
        <v>1100.51</v>
      </c>
      <c r="O64" s="195">
        <v>83683.199999999997</v>
      </c>
      <c r="P64" s="175">
        <v>820.65200000000004</v>
      </c>
      <c r="Q64" s="161">
        <v>820652000</v>
      </c>
      <c r="R64" s="2272">
        <v>820652</v>
      </c>
      <c r="S64" s="176">
        <f t="shared" si="19"/>
        <v>2.2352044423650492E-6</v>
      </c>
      <c r="T64" s="177">
        <f t="shared" si="20"/>
        <v>1.7878467381575424E-7</v>
      </c>
      <c r="U64" s="177">
        <f t="shared" si="21"/>
        <v>0</v>
      </c>
      <c r="V64" s="177">
        <f t="shared" si="22"/>
        <v>0</v>
      </c>
      <c r="W64" s="178">
        <f t="shared" si="23"/>
        <v>0</v>
      </c>
    </row>
    <row r="65" spans="1:23" ht="15.75" thickTop="1" x14ac:dyDescent="0.25">
      <c r="A65" s="8"/>
      <c r="B65" s="8"/>
      <c r="C65" s="203">
        <v>46</v>
      </c>
      <c r="D65" s="204" t="s">
        <v>13</v>
      </c>
      <c r="E65" s="205">
        <f>C65*3600</f>
        <v>165600</v>
      </c>
      <c r="F65" s="203">
        <v>985</v>
      </c>
      <c r="G65" s="204" t="s">
        <v>12</v>
      </c>
      <c r="H65" s="206">
        <f>F65*3600</f>
        <v>3546000</v>
      </c>
      <c r="I65" s="351">
        <f t="shared" si="14"/>
        <v>28.715364309806585</v>
      </c>
      <c r="J65" s="504">
        <f t="shared" si="15"/>
        <v>2183.5227603983903</v>
      </c>
      <c r="K65" s="504">
        <f t="shared" si="16"/>
        <v>21.413043478260871</v>
      </c>
      <c r="L65" s="208">
        <f t="shared" si="17"/>
        <v>21413043.478260871</v>
      </c>
      <c r="M65" s="209">
        <f t="shared" si="18"/>
        <v>21413.043478260872</v>
      </c>
      <c r="N65" s="207">
        <v>28.715399999999999</v>
      </c>
      <c r="O65" s="820">
        <v>2183.52</v>
      </c>
      <c r="P65" s="2274">
        <v>21.413</v>
      </c>
      <c r="Q65" s="514">
        <v>21413043</v>
      </c>
      <c r="R65" s="2273">
        <v>21413</v>
      </c>
      <c r="S65" s="460">
        <f t="shared" si="19"/>
        <v>-1.2428953722796964E-6</v>
      </c>
      <c r="T65" s="524">
        <f t="shared" si="20"/>
        <v>1.264194924105544E-6</v>
      </c>
      <c r="U65" s="524">
        <f t="shared" si="21"/>
        <v>2.0304568528448549E-6</v>
      </c>
      <c r="V65" s="524">
        <f t="shared" si="22"/>
        <v>2.2335025448787029E-8</v>
      </c>
      <c r="W65" s="550">
        <f t="shared" si="23"/>
        <v>2.0304568528952927E-6</v>
      </c>
    </row>
    <row r="66" spans="1:23" x14ac:dyDescent="0.25">
      <c r="A66" s="8"/>
      <c r="B66" s="10"/>
      <c r="C66" s="213">
        <v>987</v>
      </c>
      <c r="D66" s="214" t="s">
        <v>14</v>
      </c>
      <c r="E66" s="215">
        <f>C66*60</f>
        <v>59220</v>
      </c>
      <c r="F66" s="213">
        <v>78</v>
      </c>
      <c r="G66" s="214" t="s">
        <v>12</v>
      </c>
      <c r="H66" s="216">
        <f>F66*3600</f>
        <v>280800</v>
      </c>
      <c r="I66" s="358">
        <f t="shared" si="14"/>
        <v>6.3586457743715625</v>
      </c>
      <c r="J66" s="483">
        <f t="shared" si="15"/>
        <v>483.51285478588704</v>
      </c>
      <c r="K66" s="483">
        <f t="shared" si="16"/>
        <v>4.7416413373860182</v>
      </c>
      <c r="L66" s="218">
        <f t="shared" si="17"/>
        <v>4741641.3373860186</v>
      </c>
      <c r="M66" s="220">
        <f t="shared" si="18"/>
        <v>4741.6413373860187</v>
      </c>
      <c r="N66" s="217">
        <v>6.3586499999999999</v>
      </c>
      <c r="O66" s="821">
        <v>483.51299999999998</v>
      </c>
      <c r="P66" s="218">
        <v>4.7416400000000003</v>
      </c>
      <c r="Q66" s="225">
        <v>4741641</v>
      </c>
      <c r="R66" s="822">
        <v>4741.6400000000003</v>
      </c>
      <c r="S66" s="221">
        <f t="shared" si="19"/>
        <v>-6.6454848836105888E-7</v>
      </c>
      <c r="T66" s="222">
        <f t="shared" si="20"/>
        <v>-3.0033144206217606E-7</v>
      </c>
      <c r="U66" s="222">
        <f t="shared" si="21"/>
        <v>2.8205128198651646E-7</v>
      </c>
      <c r="V66" s="222">
        <f t="shared" si="22"/>
        <v>7.1153846229665361E-8</v>
      </c>
      <c r="W66" s="223">
        <f t="shared" si="23"/>
        <v>2.8205128207492891E-7</v>
      </c>
    </row>
    <row r="67" spans="1:23" ht="15.75" thickBot="1" x14ac:dyDescent="0.3">
      <c r="A67" s="8"/>
      <c r="B67" s="8"/>
      <c r="C67" s="227">
        <v>300</v>
      </c>
      <c r="D67" s="228" t="s">
        <v>15</v>
      </c>
      <c r="E67" s="229">
        <f>C67</f>
        <v>300</v>
      </c>
      <c r="F67" s="227">
        <v>763</v>
      </c>
      <c r="G67" s="228" t="s">
        <v>12</v>
      </c>
      <c r="H67" s="230">
        <f>F67*3600</f>
        <v>2746800</v>
      </c>
      <c r="I67" s="233">
        <f t="shared" si="14"/>
        <v>12278.398252332079</v>
      </c>
      <c r="J67" s="577">
        <f t="shared" si="15"/>
        <v>933652.16460259119</v>
      </c>
      <c r="K67" s="520">
        <f t="shared" si="16"/>
        <v>9156</v>
      </c>
      <c r="L67" s="823">
        <f t="shared" si="17"/>
        <v>9156000000</v>
      </c>
      <c r="M67" s="364">
        <f t="shared" si="18"/>
        <v>9156000</v>
      </c>
      <c r="N67" s="232">
        <v>12278.4</v>
      </c>
      <c r="O67" s="823">
        <v>933652</v>
      </c>
      <c r="P67" s="823">
        <v>9156</v>
      </c>
      <c r="Q67" s="823">
        <v>9156000000</v>
      </c>
      <c r="R67" s="824">
        <v>9156000</v>
      </c>
      <c r="S67" s="234">
        <f t="shared" si="19"/>
        <v>-1.4233680033098167E-7</v>
      </c>
      <c r="T67" s="235">
        <f t="shared" si="20"/>
        <v>1.7629969428770103E-7</v>
      </c>
      <c r="U67" s="235">
        <f t="shared" si="21"/>
        <v>0</v>
      </c>
      <c r="V67" s="235">
        <f t="shared" si="22"/>
        <v>0</v>
      </c>
      <c r="W67" s="236">
        <f t="shared" si="23"/>
        <v>0</v>
      </c>
    </row>
    <row r="68" spans="1:23" ht="15.75" thickTop="1" x14ac:dyDescent="0.25">
      <c r="E68" s="1"/>
      <c r="F68" s="1"/>
      <c r="G68" s="1"/>
      <c r="H68" s="1"/>
      <c r="I68" s="1"/>
    </row>
    <row r="69" spans="1:23" x14ac:dyDescent="0.25">
      <c r="E69" s="1"/>
      <c r="F69" s="1"/>
      <c r="G69" s="1"/>
      <c r="H69" s="1"/>
      <c r="I69" s="1"/>
    </row>
    <row r="70" spans="1:23" x14ac:dyDescent="0.25">
      <c r="E70" s="1"/>
      <c r="F70" s="1"/>
      <c r="G70" s="1"/>
      <c r="H70" s="1"/>
      <c r="I70" s="1"/>
    </row>
    <row r="71" spans="1:23" x14ac:dyDescent="0.25">
      <c r="E71" s="1"/>
      <c r="F71" s="1"/>
      <c r="G71" s="1"/>
      <c r="H71" s="1"/>
      <c r="I71" s="1"/>
    </row>
    <row r="72" spans="1:23" x14ac:dyDescent="0.25">
      <c r="E72" s="1"/>
      <c r="F72" s="1"/>
      <c r="G72" s="1"/>
      <c r="H72" s="1"/>
      <c r="I72" s="1"/>
    </row>
    <row r="73" spans="1:23" x14ac:dyDescent="0.25">
      <c r="E73" s="1"/>
      <c r="F73" s="1"/>
      <c r="G73" s="1"/>
      <c r="H73" s="1"/>
      <c r="I73" s="1"/>
    </row>
    <row r="74" spans="1:23" x14ac:dyDescent="0.25">
      <c r="E74" s="1"/>
      <c r="F74" s="1"/>
      <c r="G74" s="1"/>
      <c r="H74" s="1"/>
      <c r="I74" s="1"/>
    </row>
    <row r="75" spans="1:23" x14ac:dyDescent="0.25">
      <c r="E75" s="1"/>
      <c r="F75" s="1"/>
      <c r="G75" s="1"/>
      <c r="H75" s="1"/>
      <c r="I75" s="1"/>
    </row>
  </sheetData>
  <mergeCells count="31">
    <mergeCell ref="Q8:T8"/>
    <mergeCell ref="M9:P9"/>
    <mergeCell ref="M8:P8"/>
    <mergeCell ref="Q9:T9"/>
    <mergeCell ref="I9:L9"/>
    <mergeCell ref="O29:Q29"/>
    <mergeCell ref="C28:H28"/>
    <mergeCell ref="C29:E29"/>
    <mergeCell ref="F29:H29"/>
    <mergeCell ref="I29:K29"/>
    <mergeCell ref="L28:N28"/>
    <mergeCell ref="I28:K28"/>
    <mergeCell ref="L29:N29"/>
    <mergeCell ref="O28:Q28"/>
    <mergeCell ref="C2:J2"/>
    <mergeCell ref="C4:E4"/>
    <mergeCell ref="H4:I4"/>
    <mergeCell ref="C53:H53"/>
    <mergeCell ref="C54:E54"/>
    <mergeCell ref="F54:H54"/>
    <mergeCell ref="C8:H8"/>
    <mergeCell ref="C9:E9"/>
    <mergeCell ref="F9:H9"/>
    <mergeCell ref="I8:L8"/>
    <mergeCell ref="E6:G6"/>
    <mergeCell ref="S54:W54"/>
    <mergeCell ref="S53:W53"/>
    <mergeCell ref="I53:M53"/>
    <mergeCell ref="I54:M54"/>
    <mergeCell ref="N54:R54"/>
    <mergeCell ref="N53:R53"/>
  </mergeCells>
  <conditionalFormatting sqref="Q11:T25 O31:Q50 S56:W67">
    <cfRule type="cellIs" dxfId="23" priority="4" operator="between">
      <formula>0.001</formula>
      <formula>999000000</formula>
    </cfRule>
    <cfRule type="cellIs" dxfId="22" priority="3" operator="between">
      <formula>0.1</formula>
      <formula>10000000</formula>
    </cfRule>
    <cfRule type="cellIs" dxfId="21" priority="2" operator="notBetween">
      <formula>-0.01</formula>
      <formula>0.01</formula>
    </cfRule>
  </conditionalFormatting>
  <conditionalFormatting sqref="S56:W67 Q11:T25 O31:Q50">
    <cfRule type="cellIs" dxfId="20" priority="1" operator="notBetween">
      <formula>-0.001</formula>
      <formula>0.001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AL109"/>
  <sheetViews>
    <sheetView zoomScaleNormal="100" workbookViewId="0">
      <selection activeCell="B2" sqref="B2"/>
    </sheetView>
  </sheetViews>
  <sheetFormatPr defaultColWidth="18.7109375" defaultRowHeight="15" x14ac:dyDescent="0.25"/>
  <cols>
    <col min="1" max="2" width="5.7109375" style="9" customWidth="1"/>
    <col min="3" max="3" width="12.7109375" style="9" customWidth="1"/>
    <col min="4" max="4" width="10.7109375" style="9" customWidth="1"/>
    <col min="5" max="5" width="18.7109375" style="9"/>
    <col min="6" max="6" width="12.7109375" style="9" customWidth="1"/>
    <col min="7" max="7" width="10.7109375" style="9" customWidth="1"/>
    <col min="8" max="16384" width="18.7109375" style="9"/>
  </cols>
  <sheetData>
    <row r="2" spans="3:38" ht="21" x14ac:dyDescent="0.35">
      <c r="C2" s="2490" t="s">
        <v>26</v>
      </c>
      <c r="D2" s="2491"/>
      <c r="E2" s="2491"/>
      <c r="F2" s="2491"/>
      <c r="G2" s="2491"/>
      <c r="H2" s="2491"/>
      <c r="I2" s="2491"/>
      <c r="J2" s="2491"/>
    </row>
    <row r="3" spans="3:38" x14ac:dyDescent="0.25"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</row>
    <row r="4" spans="3:38" x14ac:dyDescent="0.25">
      <c r="C4" s="2501" t="s">
        <v>22</v>
      </c>
      <c r="D4" s="2502"/>
      <c r="E4" s="2503"/>
      <c r="F4" s="20"/>
      <c r="G4" s="20"/>
      <c r="H4" s="2501" t="s">
        <v>23</v>
      </c>
      <c r="I4" s="2503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</row>
    <row r="5" spans="3:38" ht="15.75" thickBot="1" x14ac:dyDescent="0.3"/>
    <row r="6" spans="3:38" ht="19.5" thickBot="1" x14ac:dyDescent="0.35">
      <c r="E6" s="2497" t="s">
        <v>127</v>
      </c>
      <c r="F6" s="2498"/>
      <c r="G6" s="2499"/>
    </row>
    <row r="7" spans="3:38" ht="15.75" thickBot="1" x14ac:dyDescent="0.3"/>
    <row r="8" spans="3:38" ht="15.75" thickTop="1" x14ac:dyDescent="0.25">
      <c r="C8" s="2488" t="s">
        <v>0</v>
      </c>
      <c r="D8" s="2489"/>
      <c r="E8" s="2489"/>
      <c r="F8" s="2489"/>
      <c r="G8" s="2489"/>
      <c r="H8" s="2489"/>
      <c r="I8" s="2483" t="s">
        <v>158</v>
      </c>
      <c r="J8" s="2484"/>
      <c r="K8" s="2484"/>
      <c r="L8" s="2485"/>
      <c r="M8" s="2489" t="s">
        <v>17</v>
      </c>
      <c r="N8" s="2489"/>
      <c r="O8" s="2489"/>
      <c r="P8" s="2489"/>
      <c r="Q8" s="2483" t="s">
        <v>8</v>
      </c>
      <c r="R8" s="2484"/>
      <c r="S8" s="2484"/>
      <c r="T8" s="2485"/>
    </row>
    <row r="9" spans="3:38" ht="15.75" thickBot="1" x14ac:dyDescent="0.3">
      <c r="C9" s="2486" t="s">
        <v>146</v>
      </c>
      <c r="D9" s="2487"/>
      <c r="E9" s="2487"/>
      <c r="F9" s="2500" t="s">
        <v>147</v>
      </c>
      <c r="G9" s="2487"/>
      <c r="H9" s="2496"/>
      <c r="I9" s="2480" t="s">
        <v>145</v>
      </c>
      <c r="J9" s="2481"/>
      <c r="K9" s="2481"/>
      <c r="L9" s="2482"/>
      <c r="M9" s="2486" t="s">
        <v>145</v>
      </c>
      <c r="N9" s="2487"/>
      <c r="O9" s="2487"/>
      <c r="P9" s="2496"/>
      <c r="Q9" s="2480" t="s">
        <v>145</v>
      </c>
      <c r="R9" s="2481"/>
      <c r="S9" s="2481"/>
      <c r="T9" s="2482"/>
    </row>
    <row r="10" spans="3:38" ht="18" thickBot="1" x14ac:dyDescent="0.3">
      <c r="C10" s="82" t="s">
        <v>3</v>
      </c>
      <c r="D10" s="66" t="s">
        <v>4</v>
      </c>
      <c r="E10" s="84" t="s">
        <v>106</v>
      </c>
      <c r="F10" s="2103" t="s">
        <v>3</v>
      </c>
      <c r="G10" s="66" t="s">
        <v>4</v>
      </c>
      <c r="H10" s="85" t="s">
        <v>31</v>
      </c>
      <c r="I10" s="86" t="s">
        <v>100</v>
      </c>
      <c r="J10" s="87" t="s">
        <v>101</v>
      </c>
      <c r="K10" s="87" t="s">
        <v>102</v>
      </c>
      <c r="L10" s="88" t="s">
        <v>103</v>
      </c>
      <c r="M10" s="84" t="s">
        <v>100</v>
      </c>
      <c r="N10" s="83" t="s">
        <v>101</v>
      </c>
      <c r="O10" s="83" t="s">
        <v>102</v>
      </c>
      <c r="P10" s="84" t="s">
        <v>103</v>
      </c>
      <c r="Q10" s="86" t="s">
        <v>100</v>
      </c>
      <c r="R10" s="87" t="s">
        <v>101</v>
      </c>
      <c r="S10" s="87" t="s">
        <v>102</v>
      </c>
      <c r="T10" s="88" t="s">
        <v>103</v>
      </c>
    </row>
    <row r="11" spans="3:38" ht="15.75" thickTop="1" x14ac:dyDescent="0.25">
      <c r="C11" s="1051">
        <v>210</v>
      </c>
      <c r="D11" s="1052" t="s">
        <v>104</v>
      </c>
      <c r="E11" s="1053">
        <f>C11*100</f>
        <v>21000</v>
      </c>
      <c r="F11" s="1167">
        <v>15</v>
      </c>
      <c r="G11" s="1052" t="s">
        <v>36</v>
      </c>
      <c r="H11" s="1055">
        <f>F11*1000/3600</f>
        <v>4.166666666666667</v>
      </c>
      <c r="I11" s="1051">
        <f>L11*1000</f>
        <v>87500000</v>
      </c>
      <c r="J11" s="1172">
        <f>L11*3600</f>
        <v>315000000</v>
      </c>
      <c r="K11" s="1172">
        <f>L11*60</f>
        <v>5250000</v>
      </c>
      <c r="L11" s="2101">
        <f>E11*H11</f>
        <v>87500</v>
      </c>
      <c r="M11" s="1174">
        <v>87500000</v>
      </c>
      <c r="N11" s="1172">
        <v>315000000</v>
      </c>
      <c r="O11" s="1172">
        <v>5250000</v>
      </c>
      <c r="P11" s="2101">
        <v>87500</v>
      </c>
      <c r="Q11" s="980">
        <f xml:space="preserve"> (I11-M11)/I11</f>
        <v>0</v>
      </c>
      <c r="R11" s="981">
        <f xml:space="preserve"> (J11-N11)/J11</f>
        <v>0</v>
      </c>
      <c r="S11" s="981">
        <f xml:space="preserve"> (K11-O11)/K11</f>
        <v>0</v>
      </c>
      <c r="T11" s="982">
        <f xml:space="preserve"> (L11-P11)/L11</f>
        <v>0</v>
      </c>
    </row>
    <row r="12" spans="3:38" x14ac:dyDescent="0.25">
      <c r="C12" s="1059">
        <v>548</v>
      </c>
      <c r="D12" s="59" t="s">
        <v>105</v>
      </c>
      <c r="E12" s="32">
        <f>C12*4046.8564224</f>
        <v>2217677.3194752</v>
      </c>
      <c r="F12" s="972">
        <v>250</v>
      </c>
      <c r="G12" s="59" t="s">
        <v>36</v>
      </c>
      <c r="H12" s="889">
        <f t="shared" ref="H12:H19" si="0">F12*1000/3600</f>
        <v>69.444444444444443</v>
      </c>
      <c r="I12" s="1059">
        <f t="shared" ref="I12:I46" si="1">L12*1000</f>
        <v>154005369408</v>
      </c>
      <c r="J12" s="903">
        <f t="shared" ref="J12:J46" si="2">L12*3600</f>
        <v>554419329868.79993</v>
      </c>
      <c r="K12" s="903">
        <f t="shared" ref="K12:K46" si="3">L12*60</f>
        <v>9240322164.4799995</v>
      </c>
      <c r="L12" s="896">
        <f t="shared" ref="L12:L46" si="4">E12*H12</f>
        <v>154005369.40799999</v>
      </c>
      <c r="M12" s="32">
        <v>154005369408</v>
      </c>
      <c r="N12" s="1060">
        <v>554419329869</v>
      </c>
      <c r="O12" s="1060">
        <v>9240322164</v>
      </c>
      <c r="P12" s="32">
        <v>154005369</v>
      </c>
      <c r="Q12" s="897">
        <f t="shared" ref="Q12:Q46" si="5" xml:space="preserve"> (I12-M12)/I12</f>
        <v>0</v>
      </c>
      <c r="R12" s="898">
        <f t="shared" ref="R12:R46" si="6" xml:space="preserve"> (J12-N12)/J12</f>
        <v>-3.6086988928550913E-13</v>
      </c>
      <c r="S12" s="898">
        <f t="shared" ref="S12:S46" si="7" xml:space="preserve"> (K12-O12)/K12</f>
        <v>5.1946191235783624E-11</v>
      </c>
      <c r="T12" s="899">
        <f t="shared" ref="T12:T46" si="8" xml:space="preserve"> (L12-P12)/L12</f>
        <v>2.649258230014748E-9</v>
      </c>
    </row>
    <row r="13" spans="3:38" ht="17.25" x14ac:dyDescent="0.25">
      <c r="C13" s="1059">
        <v>640</v>
      </c>
      <c r="D13" s="59" t="s">
        <v>112</v>
      </c>
      <c r="E13" s="32">
        <f>C13/10000</f>
        <v>6.4000000000000001E-2</v>
      </c>
      <c r="F13" s="972">
        <v>403</v>
      </c>
      <c r="G13" s="59" t="s">
        <v>36</v>
      </c>
      <c r="H13" s="889">
        <f t="shared" si="0"/>
        <v>111.94444444444444</v>
      </c>
      <c r="I13" s="1059">
        <f t="shared" si="1"/>
        <v>7164.4444444444443</v>
      </c>
      <c r="J13" s="903">
        <f t="shared" si="2"/>
        <v>25792</v>
      </c>
      <c r="K13" s="903">
        <f t="shared" si="3"/>
        <v>429.86666666666667</v>
      </c>
      <c r="L13" s="896">
        <f t="shared" si="4"/>
        <v>7.1644444444444444</v>
      </c>
      <c r="M13" s="32">
        <v>7164.44</v>
      </c>
      <c r="N13" s="1060">
        <v>25792</v>
      </c>
      <c r="O13" s="1060">
        <v>429.86700000000002</v>
      </c>
      <c r="P13" s="32">
        <v>7.1644399999999999</v>
      </c>
      <c r="Q13" s="897">
        <f t="shared" si="5"/>
        <v>6.2034739458269396E-7</v>
      </c>
      <c r="R13" s="898">
        <f t="shared" si="6"/>
        <v>0</v>
      </c>
      <c r="S13" s="898">
        <f t="shared" si="7"/>
        <v>-7.7543424320192041E-7</v>
      </c>
      <c r="T13" s="899">
        <f t="shared" si="8"/>
        <v>6.2034739454500693E-7</v>
      </c>
    </row>
    <row r="14" spans="3:38" ht="17.25" x14ac:dyDescent="0.25">
      <c r="C14" s="1059">
        <v>1290</v>
      </c>
      <c r="D14" s="59" t="s">
        <v>107</v>
      </c>
      <c r="E14" s="32">
        <f>C14/100</f>
        <v>12.9</v>
      </c>
      <c r="F14" s="972">
        <v>60</v>
      </c>
      <c r="G14" s="59" t="s">
        <v>36</v>
      </c>
      <c r="H14" s="889">
        <f t="shared" si="0"/>
        <v>16.666666666666668</v>
      </c>
      <c r="I14" s="1059">
        <f t="shared" si="1"/>
        <v>215000.00000000003</v>
      </c>
      <c r="J14" s="903">
        <f t="shared" si="2"/>
        <v>774000.00000000012</v>
      </c>
      <c r="K14" s="903">
        <f t="shared" si="3"/>
        <v>12900.000000000002</v>
      </c>
      <c r="L14" s="896">
        <f t="shared" si="4"/>
        <v>215.00000000000003</v>
      </c>
      <c r="M14" s="32">
        <v>215000</v>
      </c>
      <c r="N14" s="1060">
        <v>774000</v>
      </c>
      <c r="O14" s="1060">
        <v>12900</v>
      </c>
      <c r="P14" s="32">
        <v>215</v>
      </c>
      <c r="Q14" s="897">
        <f t="shared" si="5"/>
        <v>1.3536665328713348E-16</v>
      </c>
      <c r="R14" s="898">
        <f t="shared" si="6"/>
        <v>1.5040739254125944E-16</v>
      </c>
      <c r="S14" s="898">
        <f t="shared" si="7"/>
        <v>1.4100693050743072E-16</v>
      </c>
      <c r="T14" s="899">
        <f t="shared" si="8"/>
        <v>1.3219399735071629E-16</v>
      </c>
    </row>
    <row r="15" spans="3:38" x14ac:dyDescent="0.25">
      <c r="C15" s="1059">
        <v>15005</v>
      </c>
      <c r="D15" s="59" t="s">
        <v>108</v>
      </c>
      <c r="E15" s="32">
        <f>C15*10000</f>
        <v>150050000</v>
      </c>
      <c r="F15" s="2105">
        <v>650</v>
      </c>
      <c r="G15" s="59" t="s">
        <v>36</v>
      </c>
      <c r="H15" s="889">
        <f t="shared" si="0"/>
        <v>180.55555555555554</v>
      </c>
      <c r="I15" s="1059">
        <f t="shared" si="1"/>
        <v>27092361111111.109</v>
      </c>
      <c r="J15" s="903">
        <f t="shared" si="2"/>
        <v>97532500000000</v>
      </c>
      <c r="K15" s="903">
        <f t="shared" si="3"/>
        <v>1625541666666.6667</v>
      </c>
      <c r="L15" s="896">
        <f t="shared" si="4"/>
        <v>27092361111.111111</v>
      </c>
      <c r="M15" s="32">
        <v>27092361111111</v>
      </c>
      <c r="N15" s="1060">
        <v>97532500000000</v>
      </c>
      <c r="O15" s="1060">
        <v>1625541666667</v>
      </c>
      <c r="P15" s="32">
        <v>27092361111</v>
      </c>
      <c r="Q15" s="897">
        <f t="shared" si="5"/>
        <v>4.0371158331838106E-15</v>
      </c>
      <c r="R15" s="898">
        <f t="shared" si="6"/>
        <v>0</v>
      </c>
      <c r="S15" s="898">
        <f t="shared" si="7"/>
        <v>-2.0500978840386537E-13</v>
      </c>
      <c r="T15" s="899">
        <f t="shared" si="8"/>
        <v>4.1011813920600186E-12</v>
      </c>
    </row>
    <row r="16" spans="3:38" ht="17.25" x14ac:dyDescent="0.25">
      <c r="C16" s="1059">
        <v>360</v>
      </c>
      <c r="D16" s="59" t="s">
        <v>106</v>
      </c>
      <c r="E16" s="32">
        <f>C16</f>
        <v>360</v>
      </c>
      <c r="F16" s="2105">
        <v>1133</v>
      </c>
      <c r="G16" s="59" t="s">
        <v>36</v>
      </c>
      <c r="H16" s="889">
        <f t="shared" si="0"/>
        <v>314.72222222222223</v>
      </c>
      <c r="I16" s="1059">
        <f t="shared" si="1"/>
        <v>113300000</v>
      </c>
      <c r="J16" s="903">
        <f t="shared" si="2"/>
        <v>407880000</v>
      </c>
      <c r="K16" s="903">
        <f t="shared" si="3"/>
        <v>6798000</v>
      </c>
      <c r="L16" s="896">
        <f t="shared" si="4"/>
        <v>113300</v>
      </c>
      <c r="M16" s="32">
        <v>113300000</v>
      </c>
      <c r="N16" s="1060">
        <v>407880000</v>
      </c>
      <c r="O16" s="1060">
        <v>6798000</v>
      </c>
      <c r="P16" s="32">
        <v>113300</v>
      </c>
      <c r="Q16" s="897">
        <f t="shared" si="5"/>
        <v>0</v>
      </c>
      <c r="R16" s="898">
        <f t="shared" si="6"/>
        <v>0</v>
      </c>
      <c r="S16" s="898">
        <f t="shared" si="7"/>
        <v>0</v>
      </c>
      <c r="T16" s="899">
        <f t="shared" si="8"/>
        <v>0</v>
      </c>
    </row>
    <row r="17" spans="3:20" ht="17.25" x14ac:dyDescent="0.25">
      <c r="C17" s="1059">
        <v>840</v>
      </c>
      <c r="D17" s="59" t="s">
        <v>109</v>
      </c>
      <c r="E17" s="32">
        <f>C17/1000000</f>
        <v>8.4000000000000003E-4</v>
      </c>
      <c r="F17" s="2105">
        <v>950</v>
      </c>
      <c r="G17" s="59" t="s">
        <v>36</v>
      </c>
      <c r="H17" s="889">
        <f t="shared" si="0"/>
        <v>263.88888888888891</v>
      </c>
      <c r="I17" s="1059">
        <f t="shared" si="1"/>
        <v>221.66666666666671</v>
      </c>
      <c r="J17" s="903">
        <f t="shared" si="2"/>
        <v>798.00000000000011</v>
      </c>
      <c r="K17" s="892">
        <f t="shared" si="3"/>
        <v>13.300000000000002</v>
      </c>
      <c r="L17" s="893">
        <f t="shared" si="4"/>
        <v>0.22166666666666671</v>
      </c>
      <c r="M17" s="32">
        <v>221.667</v>
      </c>
      <c r="N17" s="1060">
        <v>798</v>
      </c>
      <c r="O17" s="892">
        <v>13.3</v>
      </c>
      <c r="P17" s="32">
        <v>0.221667</v>
      </c>
      <c r="Q17" s="897">
        <f t="shared" si="5"/>
        <v>-1.5037593982897234E-6</v>
      </c>
      <c r="R17" s="898">
        <f t="shared" si="6"/>
        <v>1.4246470892433083E-16</v>
      </c>
      <c r="S17" s="898">
        <f t="shared" si="7"/>
        <v>1.3356066461656015E-16</v>
      </c>
      <c r="T17" s="899">
        <f t="shared" si="8"/>
        <v>-1.5037593983307935E-6</v>
      </c>
    </row>
    <row r="18" spans="3:20" x14ac:dyDescent="0.25">
      <c r="C18" s="1059">
        <v>720</v>
      </c>
      <c r="D18" s="59" t="s">
        <v>110</v>
      </c>
      <c r="E18" s="32">
        <f>C18*144/10000*(2.54*2.54)</f>
        <v>66.890188800000004</v>
      </c>
      <c r="F18" s="2105">
        <v>999</v>
      </c>
      <c r="G18" s="59" t="s">
        <v>36</v>
      </c>
      <c r="H18" s="889">
        <f t="shared" si="0"/>
        <v>277.5</v>
      </c>
      <c r="I18" s="1059">
        <f t="shared" si="1"/>
        <v>18562027.392000001</v>
      </c>
      <c r="J18" s="903">
        <f t="shared" si="2"/>
        <v>66823298.611199997</v>
      </c>
      <c r="K18" s="903">
        <f t="shared" si="3"/>
        <v>1113721.6435199999</v>
      </c>
      <c r="L18" s="896">
        <f t="shared" si="4"/>
        <v>18562.027392</v>
      </c>
      <c r="M18" s="32">
        <v>18562027</v>
      </c>
      <c r="N18" s="1060">
        <v>66823299</v>
      </c>
      <c r="O18" s="1060">
        <v>1113722</v>
      </c>
      <c r="P18" s="32">
        <v>18562</v>
      </c>
      <c r="Q18" s="897">
        <f t="shared" si="5"/>
        <v>2.1118382849322755E-8</v>
      </c>
      <c r="R18" s="898">
        <f t="shared" si="6"/>
        <v>-5.8183299944034793E-9</v>
      </c>
      <c r="S18" s="898">
        <f t="shared" si="7"/>
        <v>-3.2007997882511408E-7</v>
      </c>
      <c r="T18" s="899">
        <f t="shared" si="8"/>
        <v>1.4757008715421384E-6</v>
      </c>
    </row>
    <row r="19" spans="3:20" ht="15.75" thickBot="1" x14ac:dyDescent="0.3">
      <c r="C19" s="1064">
        <v>63</v>
      </c>
      <c r="D19" s="953" t="s">
        <v>111</v>
      </c>
      <c r="E19" s="1065">
        <f>C19/10000*(2.54*2.54)</f>
        <v>4.064508E-2</v>
      </c>
      <c r="F19" s="2113">
        <v>640</v>
      </c>
      <c r="G19" s="953" t="s">
        <v>36</v>
      </c>
      <c r="H19" s="954">
        <f t="shared" si="0"/>
        <v>177.77777777777777</v>
      </c>
      <c r="I19" s="1064">
        <f t="shared" si="1"/>
        <v>7225.7919999999995</v>
      </c>
      <c r="J19" s="956">
        <f t="shared" si="2"/>
        <v>26012.851199999997</v>
      </c>
      <c r="K19" s="956">
        <f t="shared" si="3"/>
        <v>433.54751999999996</v>
      </c>
      <c r="L19" s="958">
        <f t="shared" si="4"/>
        <v>7.2257919999999993</v>
      </c>
      <c r="M19" s="1065">
        <v>7225.79</v>
      </c>
      <c r="N19" s="1066">
        <v>26012.9</v>
      </c>
      <c r="O19" s="1066">
        <v>433.548</v>
      </c>
      <c r="P19" s="1065">
        <v>7.2257899999999999</v>
      </c>
      <c r="Q19" s="911">
        <f t="shared" si="5"/>
        <v>2.7678626778877099E-7</v>
      </c>
      <c r="R19" s="912">
        <f t="shared" si="6"/>
        <v>-1.8759958156421203E-6</v>
      </c>
      <c r="S19" s="912">
        <f t="shared" si="7"/>
        <v>-1.1071450715221984E-6</v>
      </c>
      <c r="T19" s="913">
        <f t="shared" si="8"/>
        <v>2.7678626777402087E-7</v>
      </c>
    </row>
    <row r="20" spans="3:20" ht="15.75" thickTop="1" x14ac:dyDescent="0.25">
      <c r="C20" s="1431">
        <v>70</v>
      </c>
      <c r="D20" s="1333" t="s">
        <v>104</v>
      </c>
      <c r="E20" s="1334">
        <f>C20*100</f>
        <v>7000</v>
      </c>
      <c r="F20" s="1335">
        <v>1845</v>
      </c>
      <c r="G20" s="1333" t="s">
        <v>37</v>
      </c>
      <c r="H20" s="1370">
        <f>F20/60</f>
        <v>30.75</v>
      </c>
      <c r="I20" s="1431">
        <f t="shared" si="1"/>
        <v>215250000</v>
      </c>
      <c r="J20" s="1537">
        <f t="shared" si="2"/>
        <v>774900000</v>
      </c>
      <c r="K20" s="1537">
        <f t="shared" si="3"/>
        <v>12915000</v>
      </c>
      <c r="L20" s="1430">
        <f t="shared" si="4"/>
        <v>215250</v>
      </c>
      <c r="M20" s="1334">
        <v>215250000</v>
      </c>
      <c r="N20" s="1442">
        <v>774900000</v>
      </c>
      <c r="O20" s="1442">
        <v>12915000</v>
      </c>
      <c r="P20" s="1334">
        <v>215250</v>
      </c>
      <c r="Q20" s="1265">
        <f t="shared" si="5"/>
        <v>0</v>
      </c>
      <c r="R20" s="1266">
        <f t="shared" si="6"/>
        <v>0</v>
      </c>
      <c r="S20" s="1266">
        <f t="shared" si="7"/>
        <v>0</v>
      </c>
      <c r="T20" s="1267">
        <f t="shared" si="8"/>
        <v>0</v>
      </c>
    </row>
    <row r="21" spans="3:20" x14ac:dyDescent="0.25">
      <c r="C21" s="1435">
        <v>123</v>
      </c>
      <c r="D21" s="1269" t="s">
        <v>105</v>
      </c>
      <c r="E21" s="1254">
        <f>C21*4046.8564224</f>
        <v>497763.33995520003</v>
      </c>
      <c r="F21" s="1344">
        <v>654</v>
      </c>
      <c r="G21" s="1269" t="s">
        <v>37</v>
      </c>
      <c r="H21" s="1270">
        <f t="shared" ref="H21:H28" si="9">F21/60</f>
        <v>10.9</v>
      </c>
      <c r="I21" s="1435">
        <f t="shared" si="1"/>
        <v>5425620405.5116806</v>
      </c>
      <c r="J21" s="1276">
        <f t="shared" si="2"/>
        <v>19532233459.842052</v>
      </c>
      <c r="K21" s="1276">
        <f t="shared" si="3"/>
        <v>325537224.33070087</v>
      </c>
      <c r="L21" s="1434">
        <f t="shared" si="4"/>
        <v>5425620.405511681</v>
      </c>
      <c r="M21" s="1254">
        <v>5425620406</v>
      </c>
      <c r="N21" s="1446">
        <v>19532233460</v>
      </c>
      <c r="O21" s="1446">
        <v>325537224</v>
      </c>
      <c r="P21" s="1254">
        <v>5425620</v>
      </c>
      <c r="Q21" s="1277">
        <f t="shared" si="5"/>
        <v>-9.0002499341198148E-11</v>
      </c>
      <c r="R21" s="1278">
        <f t="shared" si="6"/>
        <v>-8.0865068814552434E-12</v>
      </c>
      <c r="S21" s="1278">
        <f t="shared" si="7"/>
        <v>1.0158619340953366E-9</v>
      </c>
      <c r="T21" s="1279">
        <f t="shared" si="8"/>
        <v>7.47401496386503E-8</v>
      </c>
    </row>
    <row r="22" spans="3:20" ht="17.25" x14ac:dyDescent="0.25">
      <c r="C22" s="1435">
        <v>460</v>
      </c>
      <c r="D22" s="1269" t="s">
        <v>112</v>
      </c>
      <c r="E22" s="1254">
        <f>C22/10000</f>
        <v>4.5999999999999999E-2</v>
      </c>
      <c r="F22" s="1344">
        <v>61</v>
      </c>
      <c r="G22" s="1269" t="s">
        <v>37</v>
      </c>
      <c r="H22" s="1270">
        <f t="shared" si="9"/>
        <v>1.0166666666666666</v>
      </c>
      <c r="I22" s="1435">
        <f t="shared" si="1"/>
        <v>46.766666666666666</v>
      </c>
      <c r="J22" s="1276">
        <f t="shared" si="2"/>
        <v>168.35999999999999</v>
      </c>
      <c r="K22" s="1282">
        <f t="shared" si="3"/>
        <v>2.806</v>
      </c>
      <c r="L22" s="1274">
        <f t="shared" si="4"/>
        <v>4.6766666666666665E-2</v>
      </c>
      <c r="M22" s="1254">
        <v>46.7667</v>
      </c>
      <c r="N22" s="1446">
        <v>168.36</v>
      </c>
      <c r="O22" s="1446">
        <v>2.806</v>
      </c>
      <c r="P22" s="1254">
        <v>4.6766700000000001E-2</v>
      </c>
      <c r="Q22" s="1277">
        <f t="shared" si="5"/>
        <v>-7.1275837493456635E-7</v>
      </c>
      <c r="R22" s="1278">
        <f t="shared" si="6"/>
        <v>-1.6881509521503926E-16</v>
      </c>
      <c r="S22" s="1278">
        <f t="shared" si="7"/>
        <v>0</v>
      </c>
      <c r="T22" s="1279">
        <f t="shared" si="8"/>
        <v>-7.1275837498085861E-7</v>
      </c>
    </row>
    <row r="23" spans="3:20" ht="17.25" x14ac:dyDescent="0.25">
      <c r="C23" s="1435">
        <v>810</v>
      </c>
      <c r="D23" s="1269" t="s">
        <v>107</v>
      </c>
      <c r="E23" s="1254">
        <f>C23/100</f>
        <v>8.1</v>
      </c>
      <c r="F23" s="1344">
        <v>15</v>
      </c>
      <c r="G23" s="1269" t="s">
        <v>37</v>
      </c>
      <c r="H23" s="1270">
        <f t="shared" si="9"/>
        <v>0.25</v>
      </c>
      <c r="I23" s="1435">
        <f t="shared" si="1"/>
        <v>2025</v>
      </c>
      <c r="J23" s="1276">
        <f t="shared" si="2"/>
        <v>7290</v>
      </c>
      <c r="K23" s="1276">
        <f t="shared" si="3"/>
        <v>121.5</v>
      </c>
      <c r="L23" s="1274">
        <f t="shared" si="4"/>
        <v>2.0249999999999999</v>
      </c>
      <c r="M23" s="1254">
        <v>2025</v>
      </c>
      <c r="N23" s="1446">
        <v>7290</v>
      </c>
      <c r="O23" s="1282">
        <v>121.5</v>
      </c>
      <c r="P23" s="1254">
        <v>2.0249999999999999</v>
      </c>
      <c r="Q23" s="1277">
        <f t="shared" si="5"/>
        <v>0</v>
      </c>
      <c r="R23" s="1278">
        <f t="shared" si="6"/>
        <v>0</v>
      </c>
      <c r="S23" s="1278">
        <f t="shared" si="7"/>
        <v>0</v>
      </c>
      <c r="T23" s="1279">
        <f t="shared" si="8"/>
        <v>0</v>
      </c>
    </row>
    <row r="24" spans="3:20" x14ac:dyDescent="0.25">
      <c r="C24" s="1435">
        <v>940</v>
      </c>
      <c r="D24" s="1269" t="s">
        <v>108</v>
      </c>
      <c r="E24" s="1254">
        <f>C24*10000</f>
        <v>9400000</v>
      </c>
      <c r="F24" s="1344">
        <v>198</v>
      </c>
      <c r="G24" s="1269" t="s">
        <v>37</v>
      </c>
      <c r="H24" s="1270">
        <f t="shared" si="9"/>
        <v>3.3</v>
      </c>
      <c r="I24" s="1435">
        <f t="shared" si="1"/>
        <v>31020000000</v>
      </c>
      <c r="J24" s="1276">
        <f t="shared" si="2"/>
        <v>111672000000</v>
      </c>
      <c r="K24" s="1276">
        <f t="shared" si="3"/>
        <v>1861200000</v>
      </c>
      <c r="L24" s="1434">
        <f t="shared" si="4"/>
        <v>31020000</v>
      </c>
      <c r="M24" s="1254">
        <v>31020000000</v>
      </c>
      <c r="N24" s="1446">
        <v>111672000000</v>
      </c>
      <c r="O24" s="1446">
        <v>1861200000</v>
      </c>
      <c r="P24" s="1254">
        <v>31020000</v>
      </c>
      <c r="Q24" s="1277">
        <f t="shared" si="5"/>
        <v>0</v>
      </c>
      <c r="R24" s="1278">
        <f t="shared" si="6"/>
        <v>0</v>
      </c>
      <c r="S24" s="1278">
        <f t="shared" si="7"/>
        <v>0</v>
      </c>
      <c r="T24" s="1279">
        <f t="shared" si="8"/>
        <v>0</v>
      </c>
    </row>
    <row r="25" spans="3:20" ht="17.25" x14ac:dyDescent="0.25">
      <c r="C25" s="1435">
        <v>4203</v>
      </c>
      <c r="D25" s="1269" t="s">
        <v>106</v>
      </c>
      <c r="E25" s="1254">
        <f>C25</f>
        <v>4203</v>
      </c>
      <c r="F25" s="2106">
        <v>740</v>
      </c>
      <c r="G25" s="1269" t="s">
        <v>37</v>
      </c>
      <c r="H25" s="1270">
        <f t="shared" si="9"/>
        <v>12.333333333333334</v>
      </c>
      <c r="I25" s="1435">
        <f t="shared" si="1"/>
        <v>51837000</v>
      </c>
      <c r="J25" s="1276">
        <f t="shared" si="2"/>
        <v>186613200</v>
      </c>
      <c r="K25" s="1276">
        <f t="shared" si="3"/>
        <v>3110220</v>
      </c>
      <c r="L25" s="1434">
        <f t="shared" si="4"/>
        <v>51837</v>
      </c>
      <c r="M25" s="1254">
        <v>51837000</v>
      </c>
      <c r="N25" s="1446">
        <v>186613200</v>
      </c>
      <c r="O25" s="1446">
        <v>3110220</v>
      </c>
      <c r="P25" s="1254">
        <v>51837</v>
      </c>
      <c r="Q25" s="1277">
        <f t="shared" si="5"/>
        <v>0</v>
      </c>
      <c r="R25" s="1278">
        <f t="shared" si="6"/>
        <v>0</v>
      </c>
      <c r="S25" s="1278">
        <f t="shared" si="7"/>
        <v>0</v>
      </c>
      <c r="T25" s="1279">
        <f t="shared" si="8"/>
        <v>0</v>
      </c>
    </row>
    <row r="26" spans="3:20" ht="17.25" x14ac:dyDescent="0.25">
      <c r="C26" s="1435">
        <v>5980</v>
      </c>
      <c r="D26" s="1269" t="s">
        <v>109</v>
      </c>
      <c r="E26" s="1254">
        <f>C26/1000000</f>
        <v>5.9800000000000001E-3</v>
      </c>
      <c r="F26" s="2106">
        <v>678</v>
      </c>
      <c r="G26" s="1269" t="s">
        <v>37</v>
      </c>
      <c r="H26" s="1270">
        <f t="shared" si="9"/>
        <v>11.3</v>
      </c>
      <c r="I26" s="1435">
        <f t="shared" si="1"/>
        <v>67.574000000000012</v>
      </c>
      <c r="J26" s="1276">
        <f t="shared" si="2"/>
        <v>243.26640000000003</v>
      </c>
      <c r="K26" s="1282">
        <f t="shared" si="3"/>
        <v>4.0544400000000005</v>
      </c>
      <c r="L26" s="1274">
        <f t="shared" si="4"/>
        <v>6.7574000000000009E-2</v>
      </c>
      <c r="M26" s="1254">
        <v>67.573999999999998</v>
      </c>
      <c r="N26" s="1446">
        <v>243.26599999999999</v>
      </c>
      <c r="O26" s="1446">
        <v>4.0544399999999996</v>
      </c>
      <c r="P26" s="1254">
        <v>6.7573999999999995E-2</v>
      </c>
      <c r="Q26" s="1277">
        <f t="shared" si="5"/>
        <v>2.1030062916509311E-16</v>
      </c>
      <c r="R26" s="1278">
        <f t="shared" si="6"/>
        <v>1.6442879084069985E-6</v>
      </c>
      <c r="S26" s="1278">
        <f t="shared" si="7"/>
        <v>2.1906315538030533E-16</v>
      </c>
      <c r="T26" s="1279">
        <f t="shared" si="8"/>
        <v>2.0537170816903625E-16</v>
      </c>
    </row>
    <row r="27" spans="3:20" x14ac:dyDescent="0.25">
      <c r="C27" s="1435">
        <v>8</v>
      </c>
      <c r="D27" s="1269" t="s">
        <v>110</v>
      </c>
      <c r="E27" s="1254">
        <f>C27*144/10000*(2.54*2.54)</f>
        <v>0.74322431999999994</v>
      </c>
      <c r="F27" s="2106">
        <v>5200</v>
      </c>
      <c r="G27" s="1269" t="s">
        <v>37</v>
      </c>
      <c r="H27" s="1270">
        <f t="shared" si="9"/>
        <v>86.666666666666671</v>
      </c>
      <c r="I27" s="1435">
        <f t="shared" si="1"/>
        <v>64412.774400000002</v>
      </c>
      <c r="J27" s="1276">
        <f t="shared" si="2"/>
        <v>231885.98784000002</v>
      </c>
      <c r="K27" s="1276">
        <f t="shared" si="3"/>
        <v>3864.7664640000003</v>
      </c>
      <c r="L27" s="1434">
        <f t="shared" si="4"/>
        <v>64.412774400000004</v>
      </c>
      <c r="M27" s="1254">
        <v>64412.800000000003</v>
      </c>
      <c r="N27" s="1446">
        <v>231886</v>
      </c>
      <c r="O27" s="1446">
        <v>3864.77</v>
      </c>
      <c r="P27" s="1254">
        <v>64.412800000000004</v>
      </c>
      <c r="Q27" s="1277">
        <f t="shared" si="5"/>
        <v>-3.9743669232247556E-7</v>
      </c>
      <c r="R27" s="1278">
        <f t="shared" si="6"/>
        <v>-5.2439563498943263E-8</v>
      </c>
      <c r="S27" s="1278">
        <f t="shared" si="7"/>
        <v>-9.1493238534597714E-7</v>
      </c>
      <c r="T27" s="1279">
        <f t="shared" si="8"/>
        <v>-3.9743669232071061E-7</v>
      </c>
    </row>
    <row r="28" spans="3:20" ht="15.75" thickBot="1" x14ac:dyDescent="0.3">
      <c r="C28" s="1440">
        <v>1.2</v>
      </c>
      <c r="D28" s="1348" t="s">
        <v>111</v>
      </c>
      <c r="E28" s="1351">
        <f>C28/10000*(2.54*2.54)</f>
        <v>7.7419199999999994E-4</v>
      </c>
      <c r="F28" s="2120">
        <v>4833</v>
      </c>
      <c r="G28" s="1348" t="s">
        <v>37</v>
      </c>
      <c r="H28" s="1375">
        <f t="shared" si="9"/>
        <v>80.55</v>
      </c>
      <c r="I28" s="1440">
        <f t="shared" si="1"/>
        <v>62.361165599999993</v>
      </c>
      <c r="J28" s="1377">
        <f t="shared" si="2"/>
        <v>224.50019615999997</v>
      </c>
      <c r="K28" s="1364">
        <f t="shared" si="3"/>
        <v>3.7416699359999992</v>
      </c>
      <c r="L28" s="1365">
        <f t="shared" si="4"/>
        <v>6.236116559999999E-2</v>
      </c>
      <c r="M28" s="1351">
        <v>62.361199999999997</v>
      </c>
      <c r="N28" s="1451">
        <v>224.5</v>
      </c>
      <c r="O28" s="1451">
        <v>3.7416700000000001</v>
      </c>
      <c r="P28" s="1351">
        <v>6.2361199999999999E-2</v>
      </c>
      <c r="Q28" s="1296">
        <f t="shared" si="5"/>
        <v>-5.5162535326468986E-7</v>
      </c>
      <c r="R28" s="1297">
        <f t="shared" si="6"/>
        <v>8.7376315623943289E-7</v>
      </c>
      <c r="S28" s="1297">
        <f t="shared" si="7"/>
        <v>-1.710466234306875E-8</v>
      </c>
      <c r="T28" s="1298">
        <f t="shared" si="8"/>
        <v>-5.5162535333145151E-7</v>
      </c>
    </row>
    <row r="29" spans="3:20" ht="15.75" thickTop="1" x14ac:dyDescent="0.25">
      <c r="C29" s="313">
        <v>640</v>
      </c>
      <c r="D29" s="61" t="s">
        <v>104</v>
      </c>
      <c r="E29" s="45">
        <f>C29*100</f>
        <v>64000</v>
      </c>
      <c r="F29" s="107">
        <v>2266</v>
      </c>
      <c r="G29" s="61" t="s">
        <v>31</v>
      </c>
      <c r="H29" s="48">
        <f>F29</f>
        <v>2266</v>
      </c>
      <c r="I29" s="313">
        <f t="shared" si="1"/>
        <v>145024000000</v>
      </c>
      <c r="J29" s="512">
        <f t="shared" si="2"/>
        <v>522086400000</v>
      </c>
      <c r="K29" s="512">
        <f t="shared" si="3"/>
        <v>8701440000</v>
      </c>
      <c r="L29" s="47">
        <f t="shared" si="4"/>
        <v>145024000</v>
      </c>
      <c r="M29" s="45">
        <v>145024000000</v>
      </c>
      <c r="N29" s="314">
        <v>522086400000</v>
      </c>
      <c r="O29" s="314">
        <v>8701440000</v>
      </c>
      <c r="P29" s="45">
        <v>145024000</v>
      </c>
      <c r="Q29" s="190">
        <f t="shared" si="5"/>
        <v>0</v>
      </c>
      <c r="R29" s="191">
        <f t="shared" si="6"/>
        <v>0</v>
      </c>
      <c r="S29" s="191">
        <f t="shared" si="7"/>
        <v>0</v>
      </c>
      <c r="T29" s="192">
        <f t="shared" si="8"/>
        <v>0</v>
      </c>
    </row>
    <row r="30" spans="3:20" x14ac:dyDescent="0.25">
      <c r="C30" s="310">
        <v>760</v>
      </c>
      <c r="D30" s="62" t="s">
        <v>105</v>
      </c>
      <c r="E30" s="34">
        <f>C30*4046.8564224</f>
        <v>3075610.8810240002</v>
      </c>
      <c r="F30" s="108">
        <v>3</v>
      </c>
      <c r="G30" s="62" t="s">
        <v>31</v>
      </c>
      <c r="H30" s="35">
        <f t="shared" ref="H30:H37" si="10">F30</f>
        <v>3</v>
      </c>
      <c r="I30" s="310">
        <f t="shared" si="1"/>
        <v>9226832643.0720024</v>
      </c>
      <c r="J30" s="154">
        <f t="shared" si="2"/>
        <v>33216597515.059204</v>
      </c>
      <c r="K30" s="154">
        <f t="shared" si="3"/>
        <v>553609958.58432007</v>
      </c>
      <c r="L30" s="37">
        <f t="shared" si="4"/>
        <v>9226832.6430720016</v>
      </c>
      <c r="M30" s="34">
        <v>9226832643</v>
      </c>
      <c r="N30" s="117">
        <v>33216597515</v>
      </c>
      <c r="O30" s="117">
        <v>553609959</v>
      </c>
      <c r="P30" s="34">
        <v>9226833</v>
      </c>
      <c r="Q30" s="155">
        <f t="shared" si="5"/>
        <v>7.8035891268424735E-12</v>
      </c>
      <c r="R30" s="156">
        <f t="shared" si="6"/>
        <v>1.7823650220543811E-12</v>
      </c>
      <c r="S30" s="156">
        <f t="shared" si="7"/>
        <v>-7.5085342161039356E-10</v>
      </c>
      <c r="T30" s="157">
        <f t="shared" si="8"/>
        <v>-3.8683697014053061E-8</v>
      </c>
    </row>
    <row r="31" spans="3:20" ht="17.25" x14ac:dyDescent="0.25">
      <c r="C31" s="310">
        <v>980</v>
      </c>
      <c r="D31" s="62" t="s">
        <v>112</v>
      </c>
      <c r="E31" s="34">
        <f>C31/10000</f>
        <v>9.8000000000000004E-2</v>
      </c>
      <c r="F31" s="108">
        <v>753</v>
      </c>
      <c r="G31" s="62" t="s">
        <v>31</v>
      </c>
      <c r="H31" s="35">
        <f t="shared" si="10"/>
        <v>753</v>
      </c>
      <c r="I31" s="310">
        <f t="shared" si="1"/>
        <v>73794</v>
      </c>
      <c r="J31" s="154">
        <f t="shared" si="2"/>
        <v>265658.39999999997</v>
      </c>
      <c r="K31" s="154">
        <f t="shared" si="3"/>
        <v>4427.6399999999994</v>
      </c>
      <c r="L31" s="153">
        <f t="shared" si="4"/>
        <v>73.793999999999997</v>
      </c>
      <c r="M31" s="34">
        <v>73794</v>
      </c>
      <c r="N31" s="117">
        <v>265658</v>
      </c>
      <c r="O31" s="117">
        <v>4427.6400000000003</v>
      </c>
      <c r="P31" s="34">
        <v>73.793999999999997</v>
      </c>
      <c r="Q31" s="155">
        <f t="shared" si="5"/>
        <v>0</v>
      </c>
      <c r="R31" s="156">
        <f t="shared" si="6"/>
        <v>1.5056930251973039E-6</v>
      </c>
      <c r="S31" s="156">
        <f t="shared" si="7"/>
        <v>-2.0541297435494494E-16</v>
      </c>
      <c r="T31" s="157">
        <f t="shared" si="8"/>
        <v>0</v>
      </c>
    </row>
    <row r="32" spans="3:20" ht="17.25" x14ac:dyDescent="0.25">
      <c r="C32" s="310">
        <v>788</v>
      </c>
      <c r="D32" s="62" t="s">
        <v>107</v>
      </c>
      <c r="E32" s="34">
        <f>C32/100</f>
        <v>7.88</v>
      </c>
      <c r="F32" s="108">
        <v>1667</v>
      </c>
      <c r="G32" s="62" t="s">
        <v>31</v>
      </c>
      <c r="H32" s="35">
        <f t="shared" si="10"/>
        <v>1667</v>
      </c>
      <c r="I32" s="310">
        <f t="shared" si="1"/>
        <v>13135960</v>
      </c>
      <c r="J32" s="154">
        <f t="shared" si="2"/>
        <v>47289456</v>
      </c>
      <c r="K32" s="154">
        <f t="shared" si="3"/>
        <v>788157.6</v>
      </c>
      <c r="L32" s="37">
        <f t="shared" si="4"/>
        <v>13135.96</v>
      </c>
      <c r="M32" s="34">
        <v>13135960</v>
      </c>
      <c r="N32" s="117">
        <v>47289456</v>
      </c>
      <c r="O32" s="117">
        <v>788158</v>
      </c>
      <c r="P32" s="34">
        <v>13136</v>
      </c>
      <c r="Q32" s="155">
        <f t="shared" si="5"/>
        <v>0</v>
      </c>
      <c r="R32" s="156">
        <f t="shared" si="6"/>
        <v>0</v>
      </c>
      <c r="S32" s="156">
        <f t="shared" si="7"/>
        <v>-5.0751271068537952E-7</v>
      </c>
      <c r="T32" s="157">
        <f t="shared" si="8"/>
        <v>-3.0450762640014981E-6</v>
      </c>
    </row>
    <row r="33" spans="3:20" x14ac:dyDescent="0.25">
      <c r="C33" s="310">
        <v>366</v>
      </c>
      <c r="D33" s="62" t="s">
        <v>108</v>
      </c>
      <c r="E33" s="34">
        <f>C33*10000</f>
        <v>3660000</v>
      </c>
      <c r="F33" s="108">
        <v>49</v>
      </c>
      <c r="G33" s="62" t="s">
        <v>31</v>
      </c>
      <c r="H33" s="35">
        <f t="shared" si="10"/>
        <v>49</v>
      </c>
      <c r="I33" s="310">
        <f t="shared" si="1"/>
        <v>179340000000</v>
      </c>
      <c r="J33" s="154">
        <f t="shared" si="2"/>
        <v>645624000000</v>
      </c>
      <c r="K33" s="154">
        <f t="shared" si="3"/>
        <v>10760400000</v>
      </c>
      <c r="L33" s="37">
        <f t="shared" si="4"/>
        <v>179340000</v>
      </c>
      <c r="M33" s="34">
        <v>179340000000</v>
      </c>
      <c r="N33" s="117">
        <v>645624000000</v>
      </c>
      <c r="O33" s="117">
        <v>10760400000</v>
      </c>
      <c r="P33" s="34">
        <v>179340000</v>
      </c>
      <c r="Q33" s="155">
        <f t="shared" si="5"/>
        <v>0</v>
      </c>
      <c r="R33" s="156">
        <f t="shared" si="6"/>
        <v>0</v>
      </c>
      <c r="S33" s="156">
        <f t="shared" si="7"/>
        <v>0</v>
      </c>
      <c r="T33" s="157">
        <f t="shared" si="8"/>
        <v>0</v>
      </c>
    </row>
    <row r="34" spans="3:20" ht="17.25" x14ac:dyDescent="0.25">
      <c r="C34" s="310">
        <v>486</v>
      </c>
      <c r="D34" s="62" t="s">
        <v>106</v>
      </c>
      <c r="E34" s="34">
        <f>C34</f>
        <v>486</v>
      </c>
      <c r="F34" s="582">
        <v>3386</v>
      </c>
      <c r="G34" s="62" t="s">
        <v>31</v>
      </c>
      <c r="H34" s="35">
        <f t="shared" si="10"/>
        <v>3386</v>
      </c>
      <c r="I34" s="310">
        <f t="shared" si="1"/>
        <v>1645596000</v>
      </c>
      <c r="J34" s="154">
        <f t="shared" si="2"/>
        <v>5924145600</v>
      </c>
      <c r="K34" s="154">
        <f t="shared" si="3"/>
        <v>98735760</v>
      </c>
      <c r="L34" s="37">
        <f t="shared" si="4"/>
        <v>1645596</v>
      </c>
      <c r="M34" s="34">
        <v>1645596000</v>
      </c>
      <c r="N34" s="117">
        <v>5924145600</v>
      </c>
      <c r="O34" s="117">
        <v>98735760</v>
      </c>
      <c r="P34" s="34">
        <v>1645596</v>
      </c>
      <c r="Q34" s="155">
        <f t="shared" si="5"/>
        <v>0</v>
      </c>
      <c r="R34" s="156">
        <f t="shared" si="6"/>
        <v>0</v>
      </c>
      <c r="S34" s="156">
        <f t="shared" si="7"/>
        <v>0</v>
      </c>
      <c r="T34" s="157">
        <f t="shared" si="8"/>
        <v>0</v>
      </c>
    </row>
    <row r="35" spans="3:20" ht="17.25" x14ac:dyDescent="0.25">
      <c r="C35" s="310">
        <v>266</v>
      </c>
      <c r="D35" s="62" t="s">
        <v>109</v>
      </c>
      <c r="E35" s="34">
        <f>C35/1000000</f>
        <v>2.6600000000000001E-4</v>
      </c>
      <c r="F35" s="582">
        <v>4486</v>
      </c>
      <c r="G35" s="62" t="s">
        <v>31</v>
      </c>
      <c r="H35" s="35">
        <f t="shared" si="10"/>
        <v>4486</v>
      </c>
      <c r="I35" s="310">
        <f t="shared" si="1"/>
        <v>1193.2760000000001</v>
      </c>
      <c r="J35" s="154">
        <f t="shared" si="2"/>
        <v>4295.7936</v>
      </c>
      <c r="K35" s="154">
        <f t="shared" si="3"/>
        <v>71.596559999999997</v>
      </c>
      <c r="L35" s="153">
        <f t="shared" si="4"/>
        <v>1.193276</v>
      </c>
      <c r="M35" s="34">
        <v>1193.28</v>
      </c>
      <c r="N35" s="117">
        <v>4295.79</v>
      </c>
      <c r="O35" s="117">
        <v>71.596599999999995</v>
      </c>
      <c r="P35" s="34">
        <v>1.1932799999999999</v>
      </c>
      <c r="Q35" s="155">
        <f t="shared" si="5"/>
        <v>-3.3521163585837746E-6</v>
      </c>
      <c r="R35" s="156">
        <f t="shared" si="6"/>
        <v>8.3802908966711544E-7</v>
      </c>
      <c r="S35" s="156">
        <f t="shared" si="7"/>
        <v>-5.5868605975602305E-7</v>
      </c>
      <c r="T35" s="157">
        <f t="shared" si="8"/>
        <v>-3.3521163585733544E-6</v>
      </c>
    </row>
    <row r="36" spans="3:20" x14ac:dyDescent="0.25">
      <c r="C36" s="310">
        <v>941</v>
      </c>
      <c r="D36" s="62" t="s">
        <v>110</v>
      </c>
      <c r="E36" s="34">
        <f>C36*144/10000*(2.54*2.54)</f>
        <v>87.421760640000002</v>
      </c>
      <c r="F36" s="582">
        <v>23</v>
      </c>
      <c r="G36" s="62" t="s">
        <v>31</v>
      </c>
      <c r="H36" s="35">
        <f t="shared" si="10"/>
        <v>23</v>
      </c>
      <c r="I36" s="310">
        <f t="shared" si="1"/>
        <v>2010700.4947200001</v>
      </c>
      <c r="J36" s="154">
        <f t="shared" si="2"/>
        <v>7238521.7809920004</v>
      </c>
      <c r="K36" s="154">
        <f t="shared" si="3"/>
        <v>120642.0296832</v>
      </c>
      <c r="L36" s="37">
        <f t="shared" si="4"/>
        <v>2010.7004947200001</v>
      </c>
      <c r="M36" s="34">
        <v>2010700</v>
      </c>
      <c r="N36" s="117">
        <v>7238522</v>
      </c>
      <c r="O36" s="117">
        <v>120642</v>
      </c>
      <c r="P36" s="34">
        <v>2010.7</v>
      </c>
      <c r="Q36" s="155">
        <f t="shared" si="5"/>
        <v>2.4604360588475836E-7</v>
      </c>
      <c r="R36" s="156">
        <f t="shared" si="6"/>
        <v>-3.0255901171885261E-8</v>
      </c>
      <c r="S36" s="156">
        <f t="shared" si="7"/>
        <v>2.4604360586545909E-7</v>
      </c>
      <c r="T36" s="157">
        <f t="shared" si="8"/>
        <v>2.4604360585038148E-7</v>
      </c>
    </row>
    <row r="37" spans="3:20" ht="15.75" thickBot="1" x14ac:dyDescent="0.3">
      <c r="C37" s="316">
        <v>8002</v>
      </c>
      <c r="D37" s="290" t="s">
        <v>111</v>
      </c>
      <c r="E37" s="294">
        <f>C37/10000*(2.54*2.54)</f>
        <v>5.1625703200000004</v>
      </c>
      <c r="F37" s="2111">
        <v>71</v>
      </c>
      <c r="G37" s="290" t="s">
        <v>31</v>
      </c>
      <c r="H37" s="291">
        <f t="shared" si="10"/>
        <v>71</v>
      </c>
      <c r="I37" s="316">
        <f t="shared" si="1"/>
        <v>366542.49272000004</v>
      </c>
      <c r="J37" s="732">
        <f t="shared" si="2"/>
        <v>1319552.9737920002</v>
      </c>
      <c r="K37" s="732">
        <f t="shared" si="3"/>
        <v>21992.549563200002</v>
      </c>
      <c r="L37" s="2112">
        <f t="shared" si="4"/>
        <v>366.54249272000004</v>
      </c>
      <c r="M37" s="294">
        <v>366542</v>
      </c>
      <c r="N37" s="317">
        <v>1319553</v>
      </c>
      <c r="O37" s="317">
        <v>21992.5</v>
      </c>
      <c r="P37" s="294">
        <v>366.54199999999997</v>
      </c>
      <c r="Q37" s="162">
        <f t="shared" si="5"/>
        <v>1.3442370525230629E-6</v>
      </c>
      <c r="R37" s="163">
        <f t="shared" si="6"/>
        <v>-1.986127144000596E-8</v>
      </c>
      <c r="S37" s="163">
        <f t="shared" si="7"/>
        <v>2.253635935187165E-6</v>
      </c>
      <c r="T37" s="164">
        <f t="shared" si="8"/>
        <v>1.3442370526037047E-6</v>
      </c>
    </row>
    <row r="38" spans="3:20" ht="15.75" thickTop="1" x14ac:dyDescent="0.25">
      <c r="C38" s="420">
        <v>64</v>
      </c>
      <c r="D38" s="383" t="s">
        <v>104</v>
      </c>
      <c r="E38" s="384">
        <f>C38*100</f>
        <v>6400</v>
      </c>
      <c r="F38" s="434">
        <v>0.9</v>
      </c>
      <c r="G38" s="383" t="s">
        <v>38</v>
      </c>
      <c r="H38" s="390">
        <f>F38*1609.4/3600</f>
        <v>0.40234999999999999</v>
      </c>
      <c r="I38" s="420">
        <f t="shared" si="1"/>
        <v>2575040</v>
      </c>
      <c r="J38" s="848">
        <f t="shared" si="2"/>
        <v>9270144</v>
      </c>
      <c r="K38" s="848">
        <f t="shared" si="3"/>
        <v>154502.39999999999</v>
      </c>
      <c r="L38" s="387">
        <f t="shared" si="4"/>
        <v>2575.04</v>
      </c>
      <c r="M38" s="384">
        <v>2575040</v>
      </c>
      <c r="N38" s="421">
        <v>9270144</v>
      </c>
      <c r="O38" s="421">
        <v>154502</v>
      </c>
      <c r="P38" s="384">
        <v>2575.04</v>
      </c>
      <c r="Q38" s="210">
        <f t="shared" si="5"/>
        <v>0</v>
      </c>
      <c r="R38" s="211">
        <f t="shared" si="6"/>
        <v>0</v>
      </c>
      <c r="S38" s="211">
        <f t="shared" si="7"/>
        <v>2.5889565469156416E-6</v>
      </c>
      <c r="T38" s="212">
        <f t="shared" si="8"/>
        <v>0</v>
      </c>
    </row>
    <row r="39" spans="3:20" x14ac:dyDescent="0.25">
      <c r="C39" s="412">
        <v>81</v>
      </c>
      <c r="D39" s="214" t="s">
        <v>105</v>
      </c>
      <c r="E39" s="215">
        <f>C39*4046.8564224</f>
        <v>327795.3702144</v>
      </c>
      <c r="F39" s="354">
        <v>200</v>
      </c>
      <c r="G39" s="214" t="s">
        <v>38</v>
      </c>
      <c r="H39" s="216">
        <f t="shared" ref="H39:H46" si="11">F39*1609.4/3600</f>
        <v>89.411111111111111</v>
      </c>
      <c r="I39" s="412">
        <f t="shared" si="1"/>
        <v>29308548267.947521</v>
      </c>
      <c r="J39" s="505">
        <f t="shared" si="2"/>
        <v>105510773764.61107</v>
      </c>
      <c r="K39" s="505">
        <f t="shared" si="3"/>
        <v>1758512896.0768514</v>
      </c>
      <c r="L39" s="360">
        <f t="shared" si="4"/>
        <v>29308548.267947521</v>
      </c>
      <c r="M39" s="215">
        <v>29308548268</v>
      </c>
      <c r="N39" s="274">
        <v>105510773765</v>
      </c>
      <c r="O39" s="274">
        <v>1758512896</v>
      </c>
      <c r="P39" s="215">
        <v>29308548</v>
      </c>
      <c r="Q39" s="221">
        <f t="shared" si="5"/>
        <v>-1.7905625963942778E-12</v>
      </c>
      <c r="R39" s="222">
        <f t="shared" si="6"/>
        <v>-3.6861759281734348E-12</v>
      </c>
      <c r="S39" s="222">
        <f t="shared" si="7"/>
        <v>4.3702476178531739E-11</v>
      </c>
      <c r="T39" s="223">
        <f t="shared" si="8"/>
        <v>9.1422993254749009E-9</v>
      </c>
    </row>
    <row r="40" spans="3:20" ht="17.25" x14ac:dyDescent="0.25">
      <c r="C40" s="412">
        <v>745</v>
      </c>
      <c r="D40" s="214" t="s">
        <v>112</v>
      </c>
      <c r="E40" s="215">
        <f>C40/10000</f>
        <v>7.4499999999999997E-2</v>
      </c>
      <c r="F40" s="354">
        <v>145</v>
      </c>
      <c r="G40" s="214" t="s">
        <v>38</v>
      </c>
      <c r="H40" s="216">
        <f t="shared" si="11"/>
        <v>64.823055555555555</v>
      </c>
      <c r="I40" s="412">
        <f t="shared" si="1"/>
        <v>4829.3176388888887</v>
      </c>
      <c r="J40" s="505">
        <f t="shared" si="2"/>
        <v>17385.5435</v>
      </c>
      <c r="K40" s="505">
        <f t="shared" si="3"/>
        <v>289.75905833333331</v>
      </c>
      <c r="L40" s="2377">
        <f t="shared" si="4"/>
        <v>4.829317638888889</v>
      </c>
      <c r="M40" s="215">
        <v>4829.32</v>
      </c>
      <c r="N40" s="274">
        <v>17385.5</v>
      </c>
      <c r="O40" s="274">
        <v>289.75900000000001</v>
      </c>
      <c r="P40" s="215">
        <v>4.8293200000000001</v>
      </c>
      <c r="Q40" s="221">
        <f t="shared" si="5"/>
        <v>-4.8891195144683808E-7</v>
      </c>
      <c r="R40" s="222">
        <f t="shared" si="6"/>
        <v>2.5020788104649802E-6</v>
      </c>
      <c r="S40" s="222">
        <f t="shared" si="7"/>
        <v>2.013166857846325E-7</v>
      </c>
      <c r="T40" s="223">
        <f t="shared" si="8"/>
        <v>-4.8891195146449374E-7</v>
      </c>
    </row>
    <row r="41" spans="3:20" ht="17.25" x14ac:dyDescent="0.25">
      <c r="C41" s="412">
        <v>1122</v>
      </c>
      <c r="D41" s="214" t="s">
        <v>107</v>
      </c>
      <c r="E41" s="215">
        <f>C41/100</f>
        <v>11.22</v>
      </c>
      <c r="F41" s="354">
        <v>890</v>
      </c>
      <c r="G41" s="214" t="s">
        <v>38</v>
      </c>
      <c r="H41" s="216">
        <f t="shared" si="11"/>
        <v>397.87944444444446</v>
      </c>
      <c r="I41" s="412">
        <f t="shared" si="1"/>
        <v>4464207.3666666672</v>
      </c>
      <c r="J41" s="505">
        <f t="shared" si="2"/>
        <v>16071146.520000003</v>
      </c>
      <c r="K41" s="505">
        <f t="shared" si="3"/>
        <v>267852.44200000004</v>
      </c>
      <c r="L41" s="360">
        <f t="shared" si="4"/>
        <v>4464.2073666666674</v>
      </c>
      <c r="M41" s="215">
        <v>4464207</v>
      </c>
      <c r="N41" s="274">
        <v>16071147</v>
      </c>
      <c r="O41" s="274">
        <v>267852</v>
      </c>
      <c r="P41" s="215">
        <v>4464.21</v>
      </c>
      <c r="Q41" s="221">
        <f t="shared" si="5"/>
        <v>8.2134774898943495E-8</v>
      </c>
      <c r="R41" s="222">
        <f t="shared" si="6"/>
        <v>-2.9867190627899548E-8</v>
      </c>
      <c r="S41" s="222">
        <f t="shared" si="7"/>
        <v>1.6501622936075956E-6</v>
      </c>
      <c r="T41" s="223">
        <f t="shared" si="8"/>
        <v>-5.898770187646497E-7</v>
      </c>
    </row>
    <row r="42" spans="3:20" x14ac:dyDescent="0.25">
      <c r="C42" s="412">
        <v>1188</v>
      </c>
      <c r="D42" s="214" t="s">
        <v>108</v>
      </c>
      <c r="E42" s="215">
        <f>C42*10000</f>
        <v>11880000</v>
      </c>
      <c r="F42" s="354">
        <v>789</v>
      </c>
      <c r="G42" s="214" t="s">
        <v>38</v>
      </c>
      <c r="H42" s="216">
        <f t="shared" si="11"/>
        <v>352.72683333333333</v>
      </c>
      <c r="I42" s="412">
        <f t="shared" si="1"/>
        <v>4190394780000</v>
      </c>
      <c r="J42" s="505">
        <f t="shared" si="2"/>
        <v>15085421208000</v>
      </c>
      <c r="K42" s="505">
        <f t="shared" si="3"/>
        <v>251423686800</v>
      </c>
      <c r="L42" s="360">
        <f t="shared" si="4"/>
        <v>4190394780</v>
      </c>
      <c r="M42" s="215">
        <v>4190394780000</v>
      </c>
      <c r="N42" s="274">
        <v>15085421208000</v>
      </c>
      <c r="O42" s="274">
        <v>251423686800</v>
      </c>
      <c r="P42" s="215">
        <v>4190394780</v>
      </c>
      <c r="Q42" s="221">
        <f t="shared" si="5"/>
        <v>0</v>
      </c>
      <c r="R42" s="222">
        <f t="shared" si="6"/>
        <v>0</v>
      </c>
      <c r="S42" s="222">
        <f t="shared" si="7"/>
        <v>0</v>
      </c>
      <c r="T42" s="223">
        <f t="shared" si="8"/>
        <v>0</v>
      </c>
    </row>
    <row r="43" spans="3:20" ht="17.25" x14ac:dyDescent="0.25">
      <c r="C43" s="412">
        <v>642</v>
      </c>
      <c r="D43" s="214" t="s">
        <v>106</v>
      </c>
      <c r="E43" s="215">
        <f>C43</f>
        <v>642</v>
      </c>
      <c r="F43" s="2107">
        <v>5</v>
      </c>
      <c r="G43" s="214" t="s">
        <v>38</v>
      </c>
      <c r="H43" s="216">
        <f t="shared" si="11"/>
        <v>2.2352777777777777</v>
      </c>
      <c r="I43" s="412">
        <f t="shared" si="1"/>
        <v>1435048.3333333333</v>
      </c>
      <c r="J43" s="505">
        <f t="shared" si="2"/>
        <v>5166173.9999999991</v>
      </c>
      <c r="K43" s="505">
        <f t="shared" si="3"/>
        <v>86102.9</v>
      </c>
      <c r="L43" s="360">
        <f t="shared" si="4"/>
        <v>1435.0483333333332</v>
      </c>
      <c r="M43" s="215">
        <v>1435048</v>
      </c>
      <c r="N43" s="274">
        <v>5166174</v>
      </c>
      <c r="O43" s="274">
        <v>86102.9</v>
      </c>
      <c r="P43" s="215">
        <v>1435.05</v>
      </c>
      <c r="Q43" s="221">
        <f t="shared" si="5"/>
        <v>2.3228021350434641E-7</v>
      </c>
      <c r="R43" s="222">
        <f t="shared" si="6"/>
        <v>-1.8027317210289059E-16</v>
      </c>
      <c r="S43" s="222">
        <f t="shared" si="7"/>
        <v>0</v>
      </c>
      <c r="T43" s="223">
        <f t="shared" si="8"/>
        <v>-1.1614010678703073E-6</v>
      </c>
    </row>
    <row r="44" spans="3:20" ht="17.25" x14ac:dyDescent="0.25">
      <c r="C44" s="412">
        <v>840</v>
      </c>
      <c r="D44" s="214" t="s">
        <v>109</v>
      </c>
      <c r="E44" s="215">
        <f>C44/1000000</f>
        <v>8.4000000000000003E-4</v>
      </c>
      <c r="F44" s="2107">
        <v>9</v>
      </c>
      <c r="G44" s="214" t="s">
        <v>38</v>
      </c>
      <c r="H44" s="216">
        <f t="shared" si="11"/>
        <v>4.0235000000000003</v>
      </c>
      <c r="I44" s="412">
        <f t="shared" si="1"/>
        <v>3.3797400000000004</v>
      </c>
      <c r="J44" s="478">
        <f t="shared" si="2"/>
        <v>12.167064000000002</v>
      </c>
      <c r="K44" s="478">
        <f t="shared" si="3"/>
        <v>0.20278440000000003</v>
      </c>
      <c r="L44" s="2377">
        <f t="shared" si="4"/>
        <v>3.3797400000000004E-3</v>
      </c>
      <c r="M44" s="215">
        <v>3.37974</v>
      </c>
      <c r="N44" s="274">
        <v>12.1671</v>
      </c>
      <c r="O44" s="274">
        <v>0.20278399999999999</v>
      </c>
      <c r="P44" s="215">
        <v>3.37974E-3</v>
      </c>
      <c r="Q44" s="221">
        <f t="shared" si="5"/>
        <v>1.3139744768830222E-16</v>
      </c>
      <c r="R44" s="222">
        <f t="shared" si="6"/>
        <v>-2.9588074820619479E-6</v>
      </c>
      <c r="S44" s="222">
        <f t="shared" si="7"/>
        <v>1.9725383216818346E-6</v>
      </c>
      <c r="T44" s="223">
        <f t="shared" si="8"/>
        <v>1.2831782000810765E-16</v>
      </c>
    </row>
    <row r="45" spans="3:20" x14ac:dyDescent="0.25">
      <c r="C45" s="412">
        <v>360</v>
      </c>
      <c r="D45" s="214" t="s">
        <v>110</v>
      </c>
      <c r="E45" s="215">
        <f>C45*144/10000*(2.54*2.54)</f>
        <v>33.445094400000002</v>
      </c>
      <c r="F45" s="2107">
        <v>1145</v>
      </c>
      <c r="G45" s="214" t="s">
        <v>38</v>
      </c>
      <c r="H45" s="216">
        <f t="shared" si="11"/>
        <v>511.87861111111113</v>
      </c>
      <c r="I45" s="412">
        <f t="shared" si="1"/>
        <v>17119828.469952002</v>
      </c>
      <c r="J45" s="505">
        <f t="shared" si="2"/>
        <v>61631382.491827205</v>
      </c>
      <c r="K45" s="505">
        <f t="shared" si="3"/>
        <v>1027189.7081971201</v>
      </c>
      <c r="L45" s="360">
        <f t="shared" si="4"/>
        <v>17119.828469952001</v>
      </c>
      <c r="M45" s="215">
        <v>17119828</v>
      </c>
      <c r="N45" s="274">
        <v>61631382</v>
      </c>
      <c r="O45" s="274">
        <v>1027190</v>
      </c>
      <c r="P45" s="215">
        <v>17119.8</v>
      </c>
      <c r="Q45" s="221">
        <f t="shared" si="5"/>
        <v>2.7450742452971511E-8</v>
      </c>
      <c r="R45" s="222">
        <f t="shared" si="6"/>
        <v>7.9801423388273666E-9</v>
      </c>
      <c r="S45" s="222">
        <f t="shared" si="7"/>
        <v>-2.8407885861777609E-7</v>
      </c>
      <c r="T45" s="223">
        <f t="shared" si="8"/>
        <v>1.6629811479468959E-6</v>
      </c>
    </row>
    <row r="46" spans="3:20" ht="15.75" thickBot="1" x14ac:dyDescent="0.3">
      <c r="C46" s="397">
        <v>750</v>
      </c>
      <c r="D46" s="398" t="s">
        <v>111</v>
      </c>
      <c r="E46" s="399">
        <f>C46/10000*(2.54*2.54)</f>
        <v>0.48386999999999997</v>
      </c>
      <c r="F46" s="400">
        <v>76</v>
      </c>
      <c r="G46" s="398" t="s">
        <v>38</v>
      </c>
      <c r="H46" s="410">
        <f t="shared" si="11"/>
        <v>33.976222222222226</v>
      </c>
      <c r="I46" s="397">
        <f t="shared" si="1"/>
        <v>16440.074646666668</v>
      </c>
      <c r="J46" s="618">
        <f t="shared" si="2"/>
        <v>59184.268727999995</v>
      </c>
      <c r="K46" s="618">
        <f t="shared" si="3"/>
        <v>986.40447879999999</v>
      </c>
      <c r="L46" s="402">
        <f t="shared" si="4"/>
        <v>16.440074646666666</v>
      </c>
      <c r="M46" s="399">
        <v>16440.099999999999</v>
      </c>
      <c r="N46" s="428">
        <v>59184.3</v>
      </c>
      <c r="O46" s="428">
        <v>986.404</v>
      </c>
      <c r="P46" s="399">
        <v>16.440100000000001</v>
      </c>
      <c r="Q46" s="234">
        <f t="shared" si="5"/>
        <v>-1.542166557975682E-6</v>
      </c>
      <c r="R46" s="235">
        <f t="shared" si="6"/>
        <v>-5.2838365125652126E-7</v>
      </c>
      <c r="S46" s="235">
        <f t="shared" si="7"/>
        <v>4.8539925586986969E-7</v>
      </c>
      <c r="T46" s="236">
        <f t="shared" si="8"/>
        <v>-1.5421665582350032E-6</v>
      </c>
    </row>
    <row r="47" spans="3:20" ht="15.75" thickTop="1" x14ac:dyDescent="0.25"/>
    <row r="48" spans="3:20" ht="15.75" thickBot="1" x14ac:dyDescent="0.3"/>
    <row r="49" spans="3:20" ht="15.75" thickTop="1" x14ac:dyDescent="0.25">
      <c r="C49" s="2488" t="s">
        <v>0</v>
      </c>
      <c r="D49" s="2489"/>
      <c r="E49" s="2489"/>
      <c r="F49" s="2489"/>
      <c r="G49" s="2489"/>
      <c r="H49" s="2489"/>
      <c r="I49" s="2483" t="s">
        <v>158</v>
      </c>
      <c r="J49" s="2484"/>
      <c r="K49" s="2484"/>
      <c r="L49" s="2484"/>
      <c r="M49" s="2488" t="s">
        <v>17</v>
      </c>
      <c r="N49" s="2489"/>
      <c r="O49" s="2489"/>
      <c r="P49" s="2495"/>
      <c r="Q49" s="2484" t="s">
        <v>8</v>
      </c>
      <c r="R49" s="2484"/>
      <c r="S49" s="2484"/>
      <c r="T49" s="2485"/>
    </row>
    <row r="50" spans="3:20" ht="15.75" thickBot="1" x14ac:dyDescent="0.3">
      <c r="C50" s="2486" t="s">
        <v>146</v>
      </c>
      <c r="D50" s="2487"/>
      <c r="E50" s="2487"/>
      <c r="F50" s="2486" t="s">
        <v>145</v>
      </c>
      <c r="G50" s="2487"/>
      <c r="H50" s="2496"/>
      <c r="I50" s="2480" t="s">
        <v>147</v>
      </c>
      <c r="J50" s="2481"/>
      <c r="K50" s="2481"/>
      <c r="L50" s="2481"/>
      <c r="M50" s="2486" t="s">
        <v>147</v>
      </c>
      <c r="N50" s="2487"/>
      <c r="O50" s="2487"/>
      <c r="P50" s="2487"/>
      <c r="Q50" s="2480" t="s">
        <v>147</v>
      </c>
      <c r="R50" s="2481"/>
      <c r="S50" s="2481"/>
      <c r="T50" s="2482"/>
    </row>
    <row r="51" spans="3:20" ht="18" thickBot="1" x14ac:dyDescent="0.3">
      <c r="C51" s="82" t="s">
        <v>3</v>
      </c>
      <c r="D51" s="66" t="s">
        <v>4</v>
      </c>
      <c r="E51" s="84" t="s">
        <v>106</v>
      </c>
      <c r="F51" s="82" t="s">
        <v>3</v>
      </c>
      <c r="G51" s="66" t="s">
        <v>4</v>
      </c>
      <c r="H51" s="85" t="s">
        <v>103</v>
      </c>
      <c r="I51" s="86" t="s">
        <v>36</v>
      </c>
      <c r="J51" s="87" t="s">
        <v>37</v>
      </c>
      <c r="K51" s="87" t="s">
        <v>31</v>
      </c>
      <c r="L51" s="89" t="s">
        <v>38</v>
      </c>
      <c r="M51" s="82" t="s">
        <v>36</v>
      </c>
      <c r="N51" s="83" t="s">
        <v>37</v>
      </c>
      <c r="O51" s="83" t="s">
        <v>31</v>
      </c>
      <c r="P51" s="85" t="s">
        <v>38</v>
      </c>
      <c r="Q51" s="89" t="s">
        <v>36</v>
      </c>
      <c r="R51" s="87" t="s">
        <v>37</v>
      </c>
      <c r="S51" s="87" t="s">
        <v>31</v>
      </c>
      <c r="T51" s="88" t="s">
        <v>38</v>
      </c>
    </row>
    <row r="52" spans="3:20" ht="15.75" thickTop="1" x14ac:dyDescent="0.25">
      <c r="C52" s="1051">
        <v>650</v>
      </c>
      <c r="D52" s="1052" t="s">
        <v>104</v>
      </c>
      <c r="E52" s="1053">
        <f>C52*100</f>
        <v>65000</v>
      </c>
      <c r="F52" s="1091">
        <v>63</v>
      </c>
      <c r="G52" s="1052" t="s">
        <v>100</v>
      </c>
      <c r="H52" s="1055">
        <f>F52/1000</f>
        <v>6.3E-2</v>
      </c>
      <c r="I52" s="1191">
        <f>K52*3600/1000</f>
        <v>3.4892307692307687E-6</v>
      </c>
      <c r="J52" s="1192">
        <f>K52*60</f>
        <v>5.8153846153846152E-5</v>
      </c>
      <c r="K52" s="1192">
        <f>H52/E52</f>
        <v>9.6923076923076914E-7</v>
      </c>
      <c r="L52" s="1242">
        <f>K52*3600/1609.4</f>
        <v>2.1680320425194288E-6</v>
      </c>
      <c r="M52" s="1207">
        <v>3.48923076923077E-6</v>
      </c>
      <c r="N52" s="1192">
        <v>5.8153846153846199E-5</v>
      </c>
      <c r="O52" s="1192">
        <v>9.6923076923076893E-7</v>
      </c>
      <c r="P52" s="1193">
        <v>2.1680320425194301E-6</v>
      </c>
      <c r="Q52" s="1176">
        <f xml:space="preserve"> (I52-M52)/I52</f>
        <v>-3.6413453420323765E-16</v>
      </c>
      <c r="R52" s="981">
        <f t="shared" ref="R52:T67" si="12" xml:space="preserve"> (J52-N52)/J52</f>
        <v>-8.1566135661525224E-16</v>
      </c>
      <c r="S52" s="981">
        <f t="shared" si="12"/>
        <v>2.1848072052194257E-16</v>
      </c>
      <c r="T52" s="982">
        <f t="shared" si="12"/>
        <v>-5.8603811934669064E-16</v>
      </c>
    </row>
    <row r="53" spans="3:20" x14ac:dyDescent="0.25">
      <c r="C53" s="1059">
        <v>520</v>
      </c>
      <c r="D53" s="59" t="s">
        <v>105</v>
      </c>
      <c r="E53" s="32">
        <f>C53*4046.8564224</f>
        <v>2104365.339648</v>
      </c>
      <c r="F53" s="71">
        <v>65</v>
      </c>
      <c r="G53" s="59" t="s">
        <v>100</v>
      </c>
      <c r="H53" s="889">
        <f t="shared" ref="H53:H60" si="13">F53/1000</f>
        <v>6.5000000000000002E-2</v>
      </c>
      <c r="I53" s="1159">
        <f t="shared" ref="I53:I87" si="14">K53*3600/1000</f>
        <v>1.1119742166022443E-7</v>
      </c>
      <c r="J53" s="925">
        <f t="shared" ref="J53:J87" si="15">K53*60</f>
        <v>1.8532903610037403E-6</v>
      </c>
      <c r="K53" s="925">
        <f t="shared" ref="K53:K87" si="16">H53/E53</f>
        <v>3.0888172683395672E-8</v>
      </c>
      <c r="L53" s="924">
        <f t="shared" ref="L53:L87" si="17">K53*3600/1609.4</f>
        <v>6.9092470274775958E-8</v>
      </c>
      <c r="M53" s="1117">
        <v>1.11197421660224E-7</v>
      </c>
      <c r="N53" s="1110">
        <v>1.8532903610037401E-6</v>
      </c>
      <c r="O53" s="1110">
        <v>3.0888172683395698E-8</v>
      </c>
      <c r="P53" s="1118">
        <v>6.9092470274775998E-8</v>
      </c>
      <c r="Q53" s="1115">
        <f t="shared" ref="Q53:T87" si="18" xml:space="preserve"> (I53-M53)/I53</f>
        <v>3.8086896917560722E-15</v>
      </c>
      <c r="R53" s="898">
        <f t="shared" si="12"/>
        <v>1.1426069075268217E-16</v>
      </c>
      <c r="S53" s="898">
        <f t="shared" si="12"/>
        <v>-8.5695518064511635E-16</v>
      </c>
      <c r="T53" s="899">
        <f t="shared" si="12"/>
        <v>-5.7465986155427093E-16</v>
      </c>
    </row>
    <row r="54" spans="3:20" ht="17.25" x14ac:dyDescent="0.25">
      <c r="C54" s="1059">
        <v>840</v>
      </c>
      <c r="D54" s="59" t="s">
        <v>112</v>
      </c>
      <c r="E54" s="32">
        <f>C54/10000</f>
        <v>8.4000000000000005E-2</v>
      </c>
      <c r="F54" s="71">
        <v>187</v>
      </c>
      <c r="G54" s="59" t="s">
        <v>100</v>
      </c>
      <c r="H54" s="889">
        <f t="shared" si="13"/>
        <v>0.187</v>
      </c>
      <c r="I54" s="1159">
        <f t="shared" si="14"/>
        <v>8.0142857142857125</v>
      </c>
      <c r="J54" s="925">
        <f t="shared" si="15"/>
        <v>133.57142857142856</v>
      </c>
      <c r="K54" s="925">
        <f t="shared" si="16"/>
        <v>2.2261904761904758</v>
      </c>
      <c r="L54" s="924">
        <f t="shared" si="17"/>
        <v>4.9796729925970622</v>
      </c>
      <c r="M54" s="1059">
        <v>8.0142900000000008</v>
      </c>
      <c r="N54" s="1060">
        <v>133.571</v>
      </c>
      <c r="O54" s="1060">
        <v>2.2261899999999999</v>
      </c>
      <c r="P54" s="889">
        <v>4.9796699999999996</v>
      </c>
      <c r="Q54" s="1115">
        <f t="shared" si="18"/>
        <v>-5.3475935861683068E-7</v>
      </c>
      <c r="R54" s="898">
        <f t="shared" si="12"/>
        <v>3.2085561496263509E-6</v>
      </c>
      <c r="S54" s="898">
        <f t="shared" si="12"/>
        <v>2.1390374320291858E-7</v>
      </c>
      <c r="T54" s="899">
        <f t="shared" si="12"/>
        <v>6.0096256662835286E-7</v>
      </c>
    </row>
    <row r="55" spans="3:20" ht="17.25" x14ac:dyDescent="0.25">
      <c r="C55" s="1059">
        <v>12</v>
      </c>
      <c r="D55" s="59" t="s">
        <v>107</v>
      </c>
      <c r="E55" s="32">
        <f>C55/100</f>
        <v>0.12</v>
      </c>
      <c r="F55" s="71">
        <v>65</v>
      </c>
      <c r="G55" s="59" t="s">
        <v>100</v>
      </c>
      <c r="H55" s="889">
        <f t="shared" si="13"/>
        <v>6.5000000000000002E-2</v>
      </c>
      <c r="I55" s="1159">
        <f t="shared" si="14"/>
        <v>1.9500000000000002</v>
      </c>
      <c r="J55" s="925">
        <f t="shared" si="15"/>
        <v>32.500000000000007</v>
      </c>
      <c r="K55" s="925">
        <f t="shared" si="16"/>
        <v>0.54166666666666674</v>
      </c>
      <c r="L55" s="924">
        <f t="shared" si="17"/>
        <v>1.211631663974152</v>
      </c>
      <c r="M55" s="1059">
        <v>1.95</v>
      </c>
      <c r="N55" s="1060">
        <v>32.5</v>
      </c>
      <c r="O55" s="1060">
        <v>0.54166700000000001</v>
      </c>
      <c r="P55" s="889">
        <v>1.21163</v>
      </c>
      <c r="Q55" s="1115">
        <f t="shared" si="18"/>
        <v>1.1386902816668271E-16</v>
      </c>
      <c r="R55" s="898">
        <f t="shared" si="12"/>
        <v>2.1862853408003079E-16</v>
      </c>
      <c r="S55" s="898">
        <f t="shared" si="12"/>
        <v>-6.1538461526566824E-7</v>
      </c>
      <c r="T55" s="899">
        <f t="shared" si="12"/>
        <v>1.3733333334687476E-6</v>
      </c>
    </row>
    <row r="56" spans="3:20" x14ac:dyDescent="0.25">
      <c r="C56" s="1059">
        <v>91</v>
      </c>
      <c r="D56" s="59" t="s">
        <v>108</v>
      </c>
      <c r="E56" s="32">
        <f>C56*10000</f>
        <v>910000</v>
      </c>
      <c r="F56" s="1059">
        <v>650</v>
      </c>
      <c r="G56" s="59" t="s">
        <v>100</v>
      </c>
      <c r="H56" s="889">
        <f t="shared" si="13"/>
        <v>0.65</v>
      </c>
      <c r="I56" s="1159">
        <f t="shared" si="14"/>
        <v>2.5714285714285716E-6</v>
      </c>
      <c r="J56" s="925">
        <f t="shared" si="15"/>
        <v>4.2857142857142856E-5</v>
      </c>
      <c r="K56" s="925">
        <f t="shared" si="16"/>
        <v>7.1428571428571431E-7</v>
      </c>
      <c r="L56" s="924">
        <f t="shared" si="17"/>
        <v>1.5977560404054751E-6</v>
      </c>
      <c r="M56" s="1117">
        <v>2.5714285714285699E-6</v>
      </c>
      <c r="N56" s="1110">
        <v>4.2857142857142897E-5</v>
      </c>
      <c r="O56" s="1110">
        <v>7.14285714285714E-7</v>
      </c>
      <c r="P56" s="1118">
        <v>1.5977560404054799E-6</v>
      </c>
      <c r="Q56" s="1115">
        <f t="shared" si="18"/>
        <v>6.5880340342001135E-16</v>
      </c>
      <c r="R56" s="898">
        <f t="shared" si="12"/>
        <v>-9.4867690092481638E-16</v>
      </c>
      <c r="S56" s="898">
        <f t="shared" si="12"/>
        <v>4.4469229730850768E-16</v>
      </c>
      <c r="T56" s="899">
        <f t="shared" si="12"/>
        <v>-3.048299817709478E-15</v>
      </c>
    </row>
    <row r="57" spans="3:20" ht="17.25" x14ac:dyDescent="0.25">
      <c r="C57" s="1059">
        <v>1122</v>
      </c>
      <c r="D57" s="59" t="s">
        <v>106</v>
      </c>
      <c r="E57" s="32">
        <f>C57</f>
        <v>1122</v>
      </c>
      <c r="F57" s="1059">
        <v>3311</v>
      </c>
      <c r="G57" s="59" t="s">
        <v>100</v>
      </c>
      <c r="H57" s="889">
        <f t="shared" si="13"/>
        <v>3.3109999999999999</v>
      </c>
      <c r="I57" s="1159">
        <f t="shared" si="14"/>
        <v>1.0623529411764705E-2</v>
      </c>
      <c r="J57" s="925">
        <f t="shared" si="15"/>
        <v>0.17705882352941177</v>
      </c>
      <c r="K57" s="925">
        <f t="shared" si="16"/>
        <v>2.9509803921568627E-3</v>
      </c>
      <c r="L57" s="924">
        <f t="shared" si="17"/>
        <v>6.6009254453614418E-3</v>
      </c>
      <c r="M57" s="1059">
        <v>1.0623499999999999E-2</v>
      </c>
      <c r="N57" s="1060">
        <v>0.17705899999999999</v>
      </c>
      <c r="O57" s="1060">
        <v>2.9509800000000002E-3</v>
      </c>
      <c r="P57" s="889">
        <v>6.6009299999999996E-3</v>
      </c>
      <c r="Q57" s="1115">
        <f t="shared" si="18"/>
        <v>2.7685492801895616E-6</v>
      </c>
      <c r="R57" s="898">
        <f t="shared" si="12"/>
        <v>-9.9667774080945736E-7</v>
      </c>
      <c r="S57" s="898">
        <f t="shared" si="12"/>
        <v>1.3289036537855736E-7</v>
      </c>
      <c r="T57" s="899">
        <f t="shared" si="12"/>
        <v>-6.9000000007595224E-7</v>
      </c>
    </row>
    <row r="58" spans="3:20" ht="17.25" x14ac:dyDescent="0.25">
      <c r="C58" s="1059">
        <v>76</v>
      </c>
      <c r="D58" s="59" t="s">
        <v>109</v>
      </c>
      <c r="E58" s="32">
        <f>C58/1000000</f>
        <v>7.6000000000000004E-5</v>
      </c>
      <c r="F58" s="1059">
        <v>599</v>
      </c>
      <c r="G58" s="59" t="s">
        <v>100</v>
      </c>
      <c r="H58" s="889">
        <f t="shared" si="13"/>
        <v>0.59899999999999998</v>
      </c>
      <c r="I58" s="1159">
        <f t="shared" si="14"/>
        <v>28373.684210526309</v>
      </c>
      <c r="J58" s="925">
        <f t="shared" si="15"/>
        <v>472894.73684210517</v>
      </c>
      <c r="K58" s="925">
        <f t="shared" si="16"/>
        <v>7881.5789473684199</v>
      </c>
      <c r="L58" s="924">
        <f t="shared" si="17"/>
        <v>17629.976519526725</v>
      </c>
      <c r="M58" s="1059">
        <v>28373.7</v>
      </c>
      <c r="N58" s="1060">
        <v>472895</v>
      </c>
      <c r="O58" s="1060">
        <v>7881.58</v>
      </c>
      <c r="P58" s="889">
        <v>17630</v>
      </c>
      <c r="Q58" s="1115">
        <f t="shared" si="18"/>
        <v>-5.5648302751600383E-7</v>
      </c>
      <c r="R58" s="898">
        <f t="shared" si="12"/>
        <v>-5.5648302747497451E-7</v>
      </c>
      <c r="S58" s="898">
        <f t="shared" si="12"/>
        <v>-1.3355592668077092E-7</v>
      </c>
      <c r="T58" s="899">
        <f t="shared" si="12"/>
        <v>-1.3318493787785904E-6</v>
      </c>
    </row>
    <row r="59" spans="3:20" x14ac:dyDescent="0.25">
      <c r="C59" s="1059">
        <v>633</v>
      </c>
      <c r="D59" s="59" t="s">
        <v>110</v>
      </c>
      <c r="E59" s="32">
        <f>C59*144/10000*(2.54*2.54)</f>
        <v>58.807624319999995</v>
      </c>
      <c r="F59" s="1059">
        <v>666</v>
      </c>
      <c r="G59" s="59" t="s">
        <v>100</v>
      </c>
      <c r="H59" s="889">
        <f t="shared" si="13"/>
        <v>0.66600000000000004</v>
      </c>
      <c r="I59" s="1159">
        <f t="shared" si="14"/>
        <v>4.0770223720542231E-2</v>
      </c>
      <c r="J59" s="925">
        <f t="shared" si="15"/>
        <v>0.67950372867570397</v>
      </c>
      <c r="K59" s="925">
        <f t="shared" si="16"/>
        <v>1.1325062144595065E-2</v>
      </c>
      <c r="L59" s="924">
        <f t="shared" si="17"/>
        <v>2.5332561029291805E-2</v>
      </c>
      <c r="M59" s="1059">
        <v>4.0770199999999999E-2</v>
      </c>
      <c r="N59" s="1060">
        <v>0.679504</v>
      </c>
      <c r="O59" s="1060">
        <v>1.1325099999999999E-2</v>
      </c>
      <c r="P59" s="889">
        <v>2.53326E-2</v>
      </c>
      <c r="Q59" s="1115">
        <f t="shared" si="18"/>
        <v>5.8181045054869702E-7</v>
      </c>
      <c r="R59" s="898">
        <f t="shared" si="12"/>
        <v>-3.9929772947588461E-7</v>
      </c>
      <c r="S59" s="898">
        <f t="shared" si="12"/>
        <v>-3.3426222700295797E-6</v>
      </c>
      <c r="T59" s="899">
        <f t="shared" si="12"/>
        <v>-1.5383643268493362E-6</v>
      </c>
    </row>
    <row r="60" spans="3:20" ht="15.75" thickBot="1" x14ac:dyDescent="0.3">
      <c r="C60" s="1064">
        <v>8</v>
      </c>
      <c r="D60" s="953" t="s">
        <v>111</v>
      </c>
      <c r="E60" s="1065">
        <f>C60/10000*(2.54*2.54)</f>
        <v>5.1612799999999999E-3</v>
      </c>
      <c r="F60" s="1064">
        <v>405</v>
      </c>
      <c r="G60" s="953" t="s">
        <v>100</v>
      </c>
      <c r="H60" s="954">
        <f t="shared" si="13"/>
        <v>0.40500000000000003</v>
      </c>
      <c r="I60" s="1160">
        <f t="shared" si="14"/>
        <v>282.48806497612998</v>
      </c>
      <c r="J60" s="1161">
        <f t="shared" si="15"/>
        <v>4708.1344162688329</v>
      </c>
      <c r="K60" s="1161">
        <f t="shared" si="16"/>
        <v>78.468906937813884</v>
      </c>
      <c r="L60" s="2110">
        <f t="shared" si="17"/>
        <v>175.52383806147009</v>
      </c>
      <c r="M60" s="1064">
        <v>282.488</v>
      </c>
      <c r="N60" s="1066">
        <v>4708.13</v>
      </c>
      <c r="O60" s="1066">
        <v>78.468900000000005</v>
      </c>
      <c r="P60" s="954">
        <v>175.524</v>
      </c>
      <c r="Q60" s="1116">
        <f t="shared" si="18"/>
        <v>2.3001371750839427E-7</v>
      </c>
      <c r="R60" s="912">
        <f t="shared" si="12"/>
        <v>9.3800823049905556E-7</v>
      </c>
      <c r="S60" s="912">
        <f t="shared" si="12"/>
        <v>8.8414814857138859E-8</v>
      </c>
      <c r="T60" s="913">
        <f t="shared" si="12"/>
        <v>-9.2260134977750836E-7</v>
      </c>
    </row>
    <row r="61" spans="3:20" ht="18" thickTop="1" x14ac:dyDescent="0.25">
      <c r="C61" s="1431">
        <v>52</v>
      </c>
      <c r="D61" s="1333" t="s">
        <v>104</v>
      </c>
      <c r="E61" s="1334">
        <f>C61*100</f>
        <v>5200</v>
      </c>
      <c r="F61" s="1332">
        <v>463</v>
      </c>
      <c r="G61" s="1333" t="s">
        <v>101</v>
      </c>
      <c r="H61" s="1370">
        <f>F61/3600</f>
        <v>0.12861111111111112</v>
      </c>
      <c r="I61" s="1530">
        <f t="shared" si="14"/>
        <v>8.9038461538461553E-5</v>
      </c>
      <c r="J61" s="1372">
        <f t="shared" si="15"/>
        <v>1.4839743589743592E-3</v>
      </c>
      <c r="K61" s="1372">
        <f t="shared" si="16"/>
        <v>2.4732905982905985E-5</v>
      </c>
      <c r="L61" s="1429">
        <f t="shared" si="17"/>
        <v>5.5324009903356246E-5</v>
      </c>
      <c r="M61" s="1502">
        <v>8.9038461538461594E-5</v>
      </c>
      <c r="N61" s="1442">
        <v>1.48397E-3</v>
      </c>
      <c r="O61" s="1497">
        <v>2.4732905982905999E-5</v>
      </c>
      <c r="P61" s="1503">
        <v>5.5324009903356199E-5</v>
      </c>
      <c r="Q61" s="1432">
        <f t="shared" si="18"/>
        <v>-4.5662942469691865E-16</v>
      </c>
      <c r="R61" s="1266">
        <f t="shared" si="12"/>
        <v>2.9373650109502926E-6</v>
      </c>
      <c r="S61" s="1266">
        <f t="shared" si="12"/>
        <v>-5.4795530963630238E-16</v>
      </c>
      <c r="T61" s="1267">
        <f t="shared" si="12"/>
        <v>8.5738262879175772E-16</v>
      </c>
    </row>
    <row r="62" spans="3:20" ht="17.25" x14ac:dyDescent="0.25">
      <c r="C62" s="1435">
        <v>787</v>
      </c>
      <c r="D62" s="1269" t="s">
        <v>105</v>
      </c>
      <c r="E62" s="1254">
        <f>C62*4046.8564224</f>
        <v>3184876.0044288002</v>
      </c>
      <c r="F62" s="1268">
        <v>780</v>
      </c>
      <c r="G62" s="1269" t="s">
        <v>101</v>
      </c>
      <c r="H62" s="1270">
        <f t="shared" ref="H62:H69" si="19">F62/3600</f>
        <v>0.21666666666666667</v>
      </c>
      <c r="I62" s="1532">
        <f t="shared" si="14"/>
        <v>2.449074937031626E-7</v>
      </c>
      <c r="J62" s="1323">
        <f t="shared" si="15"/>
        <v>4.0817915617193764E-6</v>
      </c>
      <c r="K62" s="1323">
        <f t="shared" si="16"/>
        <v>6.8029859361989614E-8</v>
      </c>
      <c r="L62" s="1433">
        <f t="shared" si="17"/>
        <v>1.5217316621297539E-7</v>
      </c>
      <c r="M62" s="1499">
        <v>2.4490749370316302E-7</v>
      </c>
      <c r="N62" s="1477">
        <v>4.0817915617193798E-6</v>
      </c>
      <c r="O62" s="1477">
        <v>6.8029859361989601E-8</v>
      </c>
      <c r="P62" s="1500">
        <v>1.5217316621297499E-7</v>
      </c>
      <c r="Q62" s="1498">
        <f t="shared" si="18"/>
        <v>-1.7292916081223247E-15</v>
      </c>
      <c r="R62" s="1278">
        <f t="shared" si="12"/>
        <v>-8.3005997189871595E-16</v>
      </c>
      <c r="S62" s="1278">
        <f t="shared" si="12"/>
        <v>1.9454530591376153E-16</v>
      </c>
      <c r="T62" s="1279">
        <f t="shared" si="12"/>
        <v>2.609176794480065E-15</v>
      </c>
    </row>
    <row r="63" spans="3:20" ht="17.25" x14ac:dyDescent="0.25">
      <c r="C63" s="1435">
        <v>223</v>
      </c>
      <c r="D63" s="1269" t="s">
        <v>112</v>
      </c>
      <c r="E63" s="1254">
        <f>C63/10000</f>
        <v>2.23E-2</v>
      </c>
      <c r="F63" s="1268">
        <v>560</v>
      </c>
      <c r="G63" s="1269" t="s">
        <v>101</v>
      </c>
      <c r="H63" s="1270">
        <f t="shared" si="19"/>
        <v>0.15555555555555556</v>
      </c>
      <c r="I63" s="1532">
        <f t="shared" si="14"/>
        <v>25.112107623318384</v>
      </c>
      <c r="J63" s="1323">
        <f t="shared" si="15"/>
        <v>418.53512705530642</v>
      </c>
      <c r="K63" s="1323">
        <f t="shared" si="16"/>
        <v>6.9755854509217734</v>
      </c>
      <c r="L63" s="1433">
        <f t="shared" si="17"/>
        <v>15.603397305404737</v>
      </c>
      <c r="M63" s="1435">
        <v>25.112100000000002</v>
      </c>
      <c r="N63" s="1446">
        <v>418.53500000000003</v>
      </c>
      <c r="O63" s="1446">
        <v>6.9755900000000004</v>
      </c>
      <c r="P63" s="1270">
        <v>15.603400000000001</v>
      </c>
      <c r="Q63" s="1498">
        <f t="shared" si="18"/>
        <v>3.03571428421634E-7</v>
      </c>
      <c r="R63" s="1278">
        <f t="shared" si="12"/>
        <v>3.0357142848954158E-7</v>
      </c>
      <c r="S63" s="1278">
        <f t="shared" si="12"/>
        <v>-6.5214285725647057E-7</v>
      </c>
      <c r="T63" s="1279">
        <f t="shared" si="12"/>
        <v>-1.7269285724273321E-7</v>
      </c>
    </row>
    <row r="64" spans="3:20" ht="17.25" x14ac:dyDescent="0.25">
      <c r="C64" s="1435">
        <v>5200</v>
      </c>
      <c r="D64" s="1269" t="s">
        <v>107</v>
      </c>
      <c r="E64" s="1254">
        <f>C64/100</f>
        <v>52</v>
      </c>
      <c r="F64" s="1268">
        <v>51</v>
      </c>
      <c r="G64" s="1269" t="s">
        <v>101</v>
      </c>
      <c r="H64" s="1270">
        <f t="shared" si="19"/>
        <v>1.4166666666666666E-2</v>
      </c>
      <c r="I64" s="1532">
        <f t="shared" si="14"/>
        <v>9.8076923076923081E-4</v>
      </c>
      <c r="J64" s="1323">
        <f t="shared" si="15"/>
        <v>1.6346153846153844E-2</v>
      </c>
      <c r="K64" s="1323">
        <f t="shared" si="16"/>
        <v>2.7243589743589742E-4</v>
      </c>
      <c r="L64" s="1433">
        <f t="shared" si="17"/>
        <v>6.0940054105208818E-4</v>
      </c>
      <c r="M64" s="1435">
        <v>9.8076900000000004E-4</v>
      </c>
      <c r="N64" s="1446">
        <v>1.6346200000000002E-2</v>
      </c>
      <c r="O64" s="1446">
        <v>2.7243599999999998E-4</v>
      </c>
      <c r="P64" s="1270">
        <v>6.0940099999999997E-4</v>
      </c>
      <c r="Q64" s="1498">
        <f t="shared" si="18"/>
        <v>2.3529411764226002E-7</v>
      </c>
      <c r="R64" s="1278">
        <f t="shared" si="12"/>
        <v>-2.8235294120254937E-6</v>
      </c>
      <c r="S64" s="1278">
        <f t="shared" si="12"/>
        <v>-3.7647058820550687E-7</v>
      </c>
      <c r="T64" s="1279">
        <f t="shared" si="12"/>
        <v>-7.5311372549846392E-7</v>
      </c>
    </row>
    <row r="65" spans="3:20" ht="17.25" x14ac:dyDescent="0.25">
      <c r="C65" s="1435">
        <v>411</v>
      </c>
      <c r="D65" s="1269" t="s">
        <v>108</v>
      </c>
      <c r="E65" s="1254">
        <f>C65*10000</f>
        <v>4110000</v>
      </c>
      <c r="F65" s="1268">
        <v>981</v>
      </c>
      <c r="G65" s="1269" t="s">
        <v>101</v>
      </c>
      <c r="H65" s="1270">
        <f t="shared" si="19"/>
        <v>0.27250000000000002</v>
      </c>
      <c r="I65" s="1532">
        <f t="shared" si="14"/>
        <v>2.3868613138686136E-7</v>
      </c>
      <c r="J65" s="1323">
        <f t="shared" si="15"/>
        <v>3.9781021897810223E-6</v>
      </c>
      <c r="K65" s="1323">
        <f t="shared" si="16"/>
        <v>6.6301703163017038E-8</v>
      </c>
      <c r="L65" s="1433">
        <f t="shared" si="17"/>
        <v>1.4830752540503377E-7</v>
      </c>
      <c r="M65" s="1499">
        <v>2.3868613138686099E-7</v>
      </c>
      <c r="N65" s="1477">
        <v>3.9781021897810197E-6</v>
      </c>
      <c r="O65" s="1477">
        <v>6.6301703163016998E-8</v>
      </c>
      <c r="P65" s="1500">
        <v>1.4830752540503401E-7</v>
      </c>
      <c r="Q65" s="1498">
        <f t="shared" si="18"/>
        <v>1.5525699472799578E-15</v>
      </c>
      <c r="R65" s="1278">
        <f t="shared" si="12"/>
        <v>6.3877163545232547E-16</v>
      </c>
      <c r="S65" s="1278">
        <f t="shared" si="12"/>
        <v>5.9884840823655514E-16</v>
      </c>
      <c r="T65" s="1279">
        <f t="shared" si="12"/>
        <v>-1.6063110470265198E-15</v>
      </c>
    </row>
    <row r="66" spans="3:20" ht="17.25" x14ac:dyDescent="0.25">
      <c r="C66" s="1435">
        <v>111</v>
      </c>
      <c r="D66" s="1269" t="s">
        <v>106</v>
      </c>
      <c r="E66" s="1254">
        <f>C66</f>
        <v>111</v>
      </c>
      <c r="F66" s="1435">
        <v>470</v>
      </c>
      <c r="G66" s="1269" t="s">
        <v>101</v>
      </c>
      <c r="H66" s="1270">
        <f t="shared" si="19"/>
        <v>0.13055555555555556</v>
      </c>
      <c r="I66" s="1532">
        <f t="shared" si="14"/>
        <v>4.2342342342342344E-3</v>
      </c>
      <c r="J66" s="1323">
        <f t="shared" si="15"/>
        <v>7.0570570570570576E-2</v>
      </c>
      <c r="K66" s="1323">
        <f t="shared" si="16"/>
        <v>1.1761761761761762E-3</v>
      </c>
      <c r="L66" s="1433">
        <f t="shared" si="17"/>
        <v>2.6309396260930993E-3</v>
      </c>
      <c r="M66" s="1435">
        <v>4.2342300000000003E-3</v>
      </c>
      <c r="N66" s="1446">
        <v>7.0570599999999997E-2</v>
      </c>
      <c r="O66" s="1446">
        <v>1.17618E-3</v>
      </c>
      <c r="P66" s="1270">
        <v>2.63094E-3</v>
      </c>
      <c r="Q66" s="1498">
        <f t="shared" si="18"/>
        <v>9.999999999608431E-7</v>
      </c>
      <c r="R66" s="1278">
        <f t="shared" si="12"/>
        <v>-4.1702127647899775E-7</v>
      </c>
      <c r="S66" s="1278">
        <f t="shared" si="12"/>
        <v>-3.2510638297396911E-6</v>
      </c>
      <c r="T66" s="1279">
        <f t="shared" si="12"/>
        <v>-1.421191489758163E-7</v>
      </c>
    </row>
    <row r="67" spans="3:20" ht="17.25" x14ac:dyDescent="0.25">
      <c r="C67" s="1435">
        <v>450</v>
      </c>
      <c r="D67" s="1269" t="s">
        <v>109</v>
      </c>
      <c r="E67" s="1254">
        <f>C67/1000000</f>
        <v>4.4999999999999999E-4</v>
      </c>
      <c r="F67" s="1435">
        <v>789</v>
      </c>
      <c r="G67" s="1269" t="s">
        <v>101</v>
      </c>
      <c r="H67" s="1270">
        <f t="shared" si="19"/>
        <v>0.21916666666666668</v>
      </c>
      <c r="I67" s="1532">
        <f t="shared" si="14"/>
        <v>1753.3333333333335</v>
      </c>
      <c r="J67" s="1323">
        <f t="shared" si="15"/>
        <v>29222.222222222223</v>
      </c>
      <c r="K67" s="1323">
        <f t="shared" si="16"/>
        <v>487.03703703703707</v>
      </c>
      <c r="L67" s="1433">
        <f t="shared" si="17"/>
        <v>1089.4329149579553</v>
      </c>
      <c r="M67" s="1435">
        <v>1753.33</v>
      </c>
      <c r="N67" s="1446">
        <v>29222.2</v>
      </c>
      <c r="O67" s="1446">
        <v>487.03699999999998</v>
      </c>
      <c r="P67" s="1270">
        <v>1089.43</v>
      </c>
      <c r="Q67" s="1498">
        <f t="shared" si="18"/>
        <v>1.9011406845385978E-6</v>
      </c>
      <c r="R67" s="1278">
        <f t="shared" si="12"/>
        <v>7.6045627375319244E-7</v>
      </c>
      <c r="S67" s="1278">
        <f t="shared" si="12"/>
        <v>7.6045627482694948E-8</v>
      </c>
      <c r="T67" s="1279">
        <f t="shared" si="12"/>
        <v>2.6756653991304088E-6</v>
      </c>
    </row>
    <row r="68" spans="3:20" ht="17.25" x14ac:dyDescent="0.25">
      <c r="C68" s="1435">
        <v>999</v>
      </c>
      <c r="D68" s="1269" t="s">
        <v>110</v>
      </c>
      <c r="E68" s="1254">
        <f>C68*144/10000*(2.54*2.54)</f>
        <v>92.810136959999994</v>
      </c>
      <c r="F68" s="1435">
        <v>2005</v>
      </c>
      <c r="G68" s="1269" t="s">
        <v>101</v>
      </c>
      <c r="H68" s="1270">
        <f t="shared" si="19"/>
        <v>0.55694444444444446</v>
      </c>
      <c r="I68" s="1532">
        <f t="shared" si="14"/>
        <v>2.1603243629132126E-2</v>
      </c>
      <c r="J68" s="1323">
        <f t="shared" si="15"/>
        <v>0.36005406048553545</v>
      </c>
      <c r="K68" s="1323">
        <f t="shared" si="16"/>
        <v>6.0009010080922572E-3</v>
      </c>
      <c r="L68" s="1433">
        <f t="shared" si="17"/>
        <v>1.3423166166976591E-2</v>
      </c>
      <c r="M68" s="1435">
        <v>2.1603199999999999E-2</v>
      </c>
      <c r="N68" s="1446">
        <v>0.36005399999999999</v>
      </c>
      <c r="O68" s="1446">
        <v>6.0009E-3</v>
      </c>
      <c r="P68" s="1270">
        <v>1.34232E-2</v>
      </c>
      <c r="Q68" s="1498">
        <f t="shared" si="18"/>
        <v>2.0195639541687726E-6</v>
      </c>
      <c r="R68" s="1278">
        <f t="shared" si="18"/>
        <v>1.6799014955572876E-7</v>
      </c>
      <c r="S68" s="1278">
        <f t="shared" si="18"/>
        <v>1.6799014945936971E-7</v>
      </c>
      <c r="T68" s="1279">
        <f t="shared" si="18"/>
        <v>-2.520495014964952E-6</v>
      </c>
    </row>
    <row r="69" spans="3:20" ht="18" thickBot="1" x14ac:dyDescent="0.3">
      <c r="C69" s="1440">
        <v>667</v>
      </c>
      <c r="D69" s="1348" t="s">
        <v>111</v>
      </c>
      <c r="E69" s="1351">
        <f>C69/10000*(2.54*2.54)</f>
        <v>0.43032171999999996</v>
      </c>
      <c r="F69" s="1440">
        <v>3340</v>
      </c>
      <c r="G69" s="1348" t="s">
        <v>101</v>
      </c>
      <c r="H69" s="1375">
        <f t="shared" si="19"/>
        <v>0.92777777777777781</v>
      </c>
      <c r="I69" s="1533">
        <f t="shared" si="14"/>
        <v>7.7616347136742254</v>
      </c>
      <c r="J69" s="1534">
        <f t="shared" si="15"/>
        <v>129.36057856123708</v>
      </c>
      <c r="K69" s="1534">
        <f t="shared" si="16"/>
        <v>2.1560096426872848</v>
      </c>
      <c r="L69" s="2119">
        <f t="shared" si="17"/>
        <v>4.8226884016864826</v>
      </c>
      <c r="M69" s="1440">
        <v>7.7616300000000003</v>
      </c>
      <c r="N69" s="1451">
        <v>129.36099999999999</v>
      </c>
      <c r="O69" s="1451">
        <v>2.1560100000000002</v>
      </c>
      <c r="P69" s="1375">
        <v>4.8226899999999997</v>
      </c>
      <c r="Q69" s="1493">
        <f t="shared" si="18"/>
        <v>6.0730431140501946E-7</v>
      </c>
      <c r="R69" s="1297">
        <f t="shared" si="18"/>
        <v>-3.2578608382911487E-6</v>
      </c>
      <c r="S69" s="1297">
        <f t="shared" si="18"/>
        <v>-1.6572871862026687E-7</v>
      </c>
      <c r="T69" s="1298">
        <f t="shared" si="18"/>
        <v>-3.3141546456407873E-7</v>
      </c>
    </row>
    <row r="70" spans="3:20" ht="18" thickTop="1" x14ac:dyDescent="0.25">
      <c r="C70" s="313">
        <v>301</v>
      </c>
      <c r="D70" s="61" t="s">
        <v>104</v>
      </c>
      <c r="E70" s="45">
        <f>C70*100</f>
        <v>30100</v>
      </c>
      <c r="F70" s="92">
        <v>352</v>
      </c>
      <c r="G70" s="61" t="s">
        <v>102</v>
      </c>
      <c r="H70" s="48">
        <f>F70/60</f>
        <v>5.8666666666666663</v>
      </c>
      <c r="I70" s="449">
        <f t="shared" si="14"/>
        <v>7.0166112956810637E-4</v>
      </c>
      <c r="J70" s="450">
        <f t="shared" si="15"/>
        <v>1.1694352159468438E-2</v>
      </c>
      <c r="K70" s="450">
        <f t="shared" si="16"/>
        <v>1.9490586932447397E-4</v>
      </c>
      <c r="L70" s="2114">
        <f t="shared" si="17"/>
        <v>4.3597684203312186E-4</v>
      </c>
      <c r="M70" s="313">
        <v>7.0166100000000002E-4</v>
      </c>
      <c r="N70" s="314">
        <v>1.1694400000000001E-2</v>
      </c>
      <c r="O70" s="314">
        <v>1.9490600000000001E-4</v>
      </c>
      <c r="P70" s="48">
        <v>4.3597699999999999E-4</v>
      </c>
      <c r="Q70" s="299">
        <f t="shared" si="18"/>
        <v>1.8465909096641385E-7</v>
      </c>
      <c r="R70" s="191">
        <f t="shared" si="18"/>
        <v>-4.0909090909808953E-6</v>
      </c>
      <c r="S70" s="191">
        <f t="shared" si="18"/>
        <v>-6.7045454551885008E-7</v>
      </c>
      <c r="T70" s="192">
        <f t="shared" si="18"/>
        <v>-3.6232859845043104E-7</v>
      </c>
    </row>
    <row r="71" spans="3:20" ht="17.25" x14ac:dyDescent="0.25">
      <c r="C71" s="310">
        <v>740</v>
      </c>
      <c r="D71" s="62" t="s">
        <v>105</v>
      </c>
      <c r="E71" s="34">
        <f>C71*4046.8564224</f>
        <v>2994673.7525760001</v>
      </c>
      <c r="F71" s="72">
        <v>560</v>
      </c>
      <c r="G71" s="62" t="s">
        <v>102</v>
      </c>
      <c r="H71" s="35">
        <f t="shared" ref="H71:H78" si="20">F71/60</f>
        <v>9.3333333333333339</v>
      </c>
      <c r="I71" s="453">
        <f t="shared" si="14"/>
        <v>1.1219920023373995E-5</v>
      </c>
      <c r="J71" s="454">
        <f t="shared" si="15"/>
        <v>1.8699866705623324E-4</v>
      </c>
      <c r="K71" s="454">
        <f t="shared" si="16"/>
        <v>3.1166444509372208E-6</v>
      </c>
      <c r="L71" s="300">
        <f t="shared" si="17"/>
        <v>6.9714924961936088E-6</v>
      </c>
      <c r="M71" s="2171">
        <v>1.1219920023374E-5</v>
      </c>
      <c r="N71" s="117">
        <v>1.86999E-4</v>
      </c>
      <c r="O71" s="739">
        <v>3.11664445093722E-6</v>
      </c>
      <c r="P71" s="722">
        <v>6.9714924961936097E-6</v>
      </c>
      <c r="Q71" s="334">
        <f t="shared" si="18"/>
        <v>-4.5296202405527576E-16</v>
      </c>
      <c r="R71" s="156">
        <f t="shared" si="18"/>
        <v>-1.78046064182664E-6</v>
      </c>
      <c r="S71" s="156">
        <f t="shared" si="18"/>
        <v>2.7177721443316548E-16</v>
      </c>
      <c r="T71" s="157">
        <f t="shared" si="18"/>
        <v>-1.2149951358576016E-16</v>
      </c>
    </row>
    <row r="72" spans="3:20" ht="17.25" x14ac:dyDescent="0.25">
      <c r="C72" s="310">
        <v>844</v>
      </c>
      <c r="D72" s="62" t="s">
        <v>112</v>
      </c>
      <c r="E72" s="34">
        <f>C72/10000</f>
        <v>8.4400000000000003E-2</v>
      </c>
      <c r="F72" s="72">
        <v>5840</v>
      </c>
      <c r="G72" s="62" t="s">
        <v>102</v>
      </c>
      <c r="H72" s="35">
        <f t="shared" si="20"/>
        <v>97.333333333333329</v>
      </c>
      <c r="I72" s="453">
        <f t="shared" si="14"/>
        <v>4151.658767772512</v>
      </c>
      <c r="J72" s="454">
        <f t="shared" si="15"/>
        <v>69194.312796208527</v>
      </c>
      <c r="K72" s="454">
        <f t="shared" si="16"/>
        <v>1153.2385466034755</v>
      </c>
      <c r="L72" s="300">
        <f t="shared" si="17"/>
        <v>2579.6313954097873</v>
      </c>
      <c r="M72" s="310">
        <v>4151.66</v>
      </c>
      <c r="N72" s="117">
        <v>69194.3</v>
      </c>
      <c r="O72" s="117">
        <v>1153.24</v>
      </c>
      <c r="P72" s="35">
        <v>2579.63</v>
      </c>
      <c r="Q72" s="334">
        <f t="shared" si="18"/>
        <v>-2.968036529049533E-7</v>
      </c>
      <c r="R72" s="156">
        <f t="shared" si="18"/>
        <v>1.8493150675642203E-7</v>
      </c>
      <c r="S72" s="156">
        <f t="shared" si="18"/>
        <v>-1.2602739726483142E-6</v>
      </c>
      <c r="T72" s="157">
        <f t="shared" si="18"/>
        <v>5.4093378986148253E-7</v>
      </c>
    </row>
    <row r="73" spans="3:20" ht="17.25" x14ac:dyDescent="0.25">
      <c r="C73" s="310">
        <v>3322</v>
      </c>
      <c r="D73" s="62" t="s">
        <v>107</v>
      </c>
      <c r="E73" s="34">
        <f>C73/100</f>
        <v>33.22</v>
      </c>
      <c r="F73" s="72">
        <v>7661</v>
      </c>
      <c r="G73" s="62" t="s">
        <v>102</v>
      </c>
      <c r="H73" s="35">
        <f t="shared" si="20"/>
        <v>127.68333333333334</v>
      </c>
      <c r="I73" s="453">
        <f t="shared" si="14"/>
        <v>13.836845273931367</v>
      </c>
      <c r="J73" s="454">
        <f t="shared" si="15"/>
        <v>230.61408789885613</v>
      </c>
      <c r="K73" s="454">
        <f t="shared" si="16"/>
        <v>3.843568131647602</v>
      </c>
      <c r="L73" s="300">
        <f t="shared" si="17"/>
        <v>8.5975178786699189</v>
      </c>
      <c r="M73" s="310">
        <v>13.8368</v>
      </c>
      <c r="N73" s="117">
        <v>230.614</v>
      </c>
      <c r="O73" s="117">
        <v>3.8435700000000002</v>
      </c>
      <c r="P73" s="35">
        <v>8.5975199999999994</v>
      </c>
      <c r="Q73" s="334">
        <f t="shared" si="18"/>
        <v>3.2719836400749469E-6</v>
      </c>
      <c r="R73" s="156">
        <f t="shared" si="18"/>
        <v>3.8115128578416912E-7</v>
      </c>
      <c r="S73" s="156">
        <f t="shared" si="18"/>
        <v>-4.8609842056468593E-7</v>
      </c>
      <c r="T73" s="157">
        <f t="shared" si="18"/>
        <v>-2.4673750149999353E-7</v>
      </c>
    </row>
    <row r="74" spans="3:20" ht="17.25" x14ac:dyDescent="0.25">
      <c r="C74" s="310">
        <v>511</v>
      </c>
      <c r="D74" s="62" t="s">
        <v>108</v>
      </c>
      <c r="E74" s="34">
        <f>C74*10000</f>
        <v>5110000</v>
      </c>
      <c r="F74" s="72">
        <v>94</v>
      </c>
      <c r="G74" s="62" t="s">
        <v>102</v>
      </c>
      <c r="H74" s="35">
        <f t="shared" si="20"/>
        <v>1.5666666666666667</v>
      </c>
      <c r="I74" s="453">
        <f t="shared" si="14"/>
        <v>1.1037181996086107E-6</v>
      </c>
      <c r="J74" s="454">
        <f t="shared" si="15"/>
        <v>1.8395303326810178E-5</v>
      </c>
      <c r="K74" s="454">
        <f t="shared" si="16"/>
        <v>3.0658838878016962E-7</v>
      </c>
      <c r="L74" s="300">
        <f t="shared" si="17"/>
        <v>6.8579483012837742E-7</v>
      </c>
      <c r="M74" s="2171">
        <v>1.1037181996086101E-6</v>
      </c>
      <c r="N74" s="739">
        <v>1.8395303326810198E-5</v>
      </c>
      <c r="O74" s="739">
        <v>3.0658838878016999E-7</v>
      </c>
      <c r="P74" s="722">
        <v>6.85794830128377E-7</v>
      </c>
      <c r="Q74" s="334">
        <f t="shared" si="18"/>
        <v>5.7557690963689811E-16</v>
      </c>
      <c r="R74" s="156">
        <f t="shared" si="18"/>
        <v>-1.1051076665028445E-15</v>
      </c>
      <c r="S74" s="156">
        <f t="shared" si="18"/>
        <v>-1.2087115102374862E-15</v>
      </c>
      <c r="T74" s="157">
        <f t="shared" si="18"/>
        <v>6.1755565224641594E-16</v>
      </c>
    </row>
    <row r="75" spans="3:20" ht="17.25" x14ac:dyDescent="0.25">
      <c r="C75" s="310">
        <v>123</v>
      </c>
      <c r="D75" s="62" t="s">
        <v>106</v>
      </c>
      <c r="E75" s="34">
        <f>C75</f>
        <v>123</v>
      </c>
      <c r="F75" s="310">
        <v>3863</v>
      </c>
      <c r="G75" s="62" t="s">
        <v>102</v>
      </c>
      <c r="H75" s="35">
        <f t="shared" si="20"/>
        <v>64.38333333333334</v>
      </c>
      <c r="I75" s="453">
        <f t="shared" si="14"/>
        <v>1.8843902439024391</v>
      </c>
      <c r="J75" s="454">
        <f t="shared" si="15"/>
        <v>31.406504065040654</v>
      </c>
      <c r="K75" s="454">
        <f t="shared" si="16"/>
        <v>0.52344173441734421</v>
      </c>
      <c r="L75" s="300">
        <f t="shared" si="17"/>
        <v>1.1708650701518821</v>
      </c>
      <c r="M75" s="310">
        <v>1.88439</v>
      </c>
      <c r="N75" s="117">
        <v>31.406500000000001</v>
      </c>
      <c r="O75" s="117">
        <v>0.52344199999999996</v>
      </c>
      <c r="P75" s="35">
        <v>1.1708700000000001</v>
      </c>
      <c r="Q75" s="334">
        <f t="shared" si="18"/>
        <v>1.2943308315436712E-7</v>
      </c>
      <c r="R75" s="156">
        <f t="shared" si="18"/>
        <v>1.2943308316379381E-7</v>
      </c>
      <c r="S75" s="156">
        <f t="shared" si="18"/>
        <v>-5.0737768560219146E-7</v>
      </c>
      <c r="T75" s="157">
        <f t="shared" si="18"/>
        <v>-4.2104323065271031E-6</v>
      </c>
    </row>
    <row r="76" spans="3:20" ht="17.25" x14ac:dyDescent="0.25">
      <c r="C76" s="310">
        <v>2.5</v>
      </c>
      <c r="D76" s="62" t="s">
        <v>109</v>
      </c>
      <c r="E76" s="34">
        <f>C76/1000000</f>
        <v>2.5000000000000002E-6</v>
      </c>
      <c r="F76" s="310">
        <v>44</v>
      </c>
      <c r="G76" s="62" t="s">
        <v>102</v>
      </c>
      <c r="H76" s="35">
        <f t="shared" si="20"/>
        <v>0.73333333333333328</v>
      </c>
      <c r="I76" s="453">
        <f t="shared" si="14"/>
        <v>1055999.9999999998</v>
      </c>
      <c r="J76" s="151">
        <f t="shared" si="15"/>
        <v>17600000</v>
      </c>
      <c r="K76" s="525">
        <f t="shared" si="16"/>
        <v>293333.33333333331</v>
      </c>
      <c r="L76" s="300">
        <f t="shared" si="17"/>
        <v>656145.14725984831</v>
      </c>
      <c r="M76" s="310">
        <v>1056000</v>
      </c>
      <c r="N76" s="117">
        <v>17600000</v>
      </c>
      <c r="O76" s="117">
        <v>293333</v>
      </c>
      <c r="P76" s="35">
        <v>656145</v>
      </c>
      <c r="Q76" s="334">
        <f t="shared" si="18"/>
        <v>-2.2048356406616447E-16</v>
      </c>
      <c r="R76" s="156">
        <f t="shared" si="18"/>
        <v>0</v>
      </c>
      <c r="S76" s="156">
        <f t="shared" si="18"/>
        <v>1.1363636362974914E-6</v>
      </c>
      <c r="T76" s="157">
        <f t="shared" si="18"/>
        <v>2.2443181805691427E-7</v>
      </c>
    </row>
    <row r="77" spans="3:20" ht="17.25" x14ac:dyDescent="0.25">
      <c r="C77" s="310">
        <v>4500</v>
      </c>
      <c r="D77" s="62" t="s">
        <v>110</v>
      </c>
      <c r="E77" s="34">
        <f>C77*144/10000*(2.54*2.54)</f>
        <v>418.06367999999998</v>
      </c>
      <c r="F77" s="310">
        <v>32</v>
      </c>
      <c r="G77" s="62" t="s">
        <v>102</v>
      </c>
      <c r="H77" s="35">
        <f t="shared" si="20"/>
        <v>0.53333333333333333</v>
      </c>
      <c r="I77" s="453">
        <f t="shared" si="14"/>
        <v>4.5926017777961486E-3</v>
      </c>
      <c r="J77" s="454">
        <f t="shared" si="15"/>
        <v>7.6543362963269135E-2</v>
      </c>
      <c r="K77" s="454">
        <f t="shared" si="16"/>
        <v>1.2757227160544856E-3</v>
      </c>
      <c r="L77" s="300">
        <f t="shared" si="17"/>
        <v>2.8536111456419462E-3</v>
      </c>
      <c r="M77" s="310">
        <v>4.5925999999999996E-3</v>
      </c>
      <c r="N77" s="117">
        <v>7.6543399999999998E-2</v>
      </c>
      <c r="O77" s="117">
        <v>1.2757199999999999E-3</v>
      </c>
      <c r="P77" s="35">
        <v>2.8536099999999999E-3</v>
      </c>
      <c r="Q77" s="334">
        <f t="shared" si="18"/>
        <v>3.8710000017949705E-7</v>
      </c>
      <c r="R77" s="156">
        <f t="shared" si="18"/>
        <v>-4.8386599998908222E-7</v>
      </c>
      <c r="S77" s="156">
        <f t="shared" si="18"/>
        <v>2.1290320000747218E-6</v>
      </c>
      <c r="T77" s="157">
        <f t="shared" si="18"/>
        <v>4.0147093905089204E-7</v>
      </c>
    </row>
    <row r="78" spans="3:20" ht="18" thickBot="1" x14ac:dyDescent="0.3">
      <c r="C78" s="316">
        <v>944</v>
      </c>
      <c r="D78" s="290" t="s">
        <v>111</v>
      </c>
      <c r="E78" s="294">
        <f>C78/10000*(2.54*2.54)</f>
        <v>0.60903103999999997</v>
      </c>
      <c r="F78" s="316">
        <v>17</v>
      </c>
      <c r="G78" s="290" t="s">
        <v>102</v>
      </c>
      <c r="H78" s="291">
        <f t="shared" si="20"/>
        <v>0.28333333333333333</v>
      </c>
      <c r="I78" s="1634">
        <f t="shared" si="14"/>
        <v>1.6747914851761907</v>
      </c>
      <c r="J78" s="1635">
        <f t="shared" si="15"/>
        <v>27.91319141960318</v>
      </c>
      <c r="K78" s="1635">
        <f t="shared" si="16"/>
        <v>0.4652198569933863</v>
      </c>
      <c r="L78" s="2109">
        <f t="shared" si="17"/>
        <v>1.040630971278856</v>
      </c>
      <c r="M78" s="316">
        <v>1.67479</v>
      </c>
      <c r="N78" s="317">
        <v>27.9132</v>
      </c>
      <c r="O78" s="317">
        <v>0.46522000000000002</v>
      </c>
      <c r="P78" s="291">
        <v>1.0406299999999999</v>
      </c>
      <c r="Q78" s="735">
        <f t="shared" si="18"/>
        <v>8.8678274510106713E-7</v>
      </c>
      <c r="R78" s="163">
        <f t="shared" si="18"/>
        <v>-3.0739576463112944E-7</v>
      </c>
      <c r="S78" s="163">
        <f t="shared" si="18"/>
        <v>-3.0739576475045187E-7</v>
      </c>
      <c r="T78" s="164">
        <f t="shared" si="18"/>
        <v>9.3335570708268321E-7</v>
      </c>
    </row>
    <row r="79" spans="3:20" ht="18" thickTop="1" x14ac:dyDescent="0.25">
      <c r="C79" s="420">
        <v>723</v>
      </c>
      <c r="D79" s="383" t="s">
        <v>104</v>
      </c>
      <c r="E79" s="384">
        <f>C79*100</f>
        <v>72300</v>
      </c>
      <c r="F79" s="382">
        <v>589</v>
      </c>
      <c r="G79" s="383" t="s">
        <v>103</v>
      </c>
      <c r="H79" s="430">
        <f>F79</f>
        <v>589</v>
      </c>
      <c r="I79" s="865">
        <f t="shared" si="14"/>
        <v>2.932780082987552E-2</v>
      </c>
      <c r="J79" s="866">
        <f t="shared" si="15"/>
        <v>0.48879668049792535</v>
      </c>
      <c r="K79" s="866">
        <f t="shared" si="16"/>
        <v>8.1466113416320887E-3</v>
      </c>
      <c r="L79" s="2116">
        <f t="shared" si="17"/>
        <v>1.8222816471899789E-2</v>
      </c>
      <c r="M79" s="420">
        <v>2.9327800000000001E-2</v>
      </c>
      <c r="N79" s="421">
        <v>0.48879699999999998</v>
      </c>
      <c r="O79" s="421">
        <v>8.1466100000000003E-3</v>
      </c>
      <c r="P79" s="390">
        <v>1.8222800000000001E-2</v>
      </c>
      <c r="Q79" s="628">
        <f t="shared" si="18"/>
        <v>2.8296547832287708E-8</v>
      </c>
      <c r="R79" s="211">
        <f t="shared" si="18"/>
        <v>-6.536502545496554E-7</v>
      </c>
      <c r="S79" s="211">
        <f t="shared" si="18"/>
        <v>1.6468590830583716E-7</v>
      </c>
      <c r="T79" s="212">
        <f t="shared" si="18"/>
        <v>9.0391624225569657E-7</v>
      </c>
    </row>
    <row r="80" spans="3:20" ht="17.25" x14ac:dyDescent="0.25">
      <c r="C80" s="412">
        <v>840</v>
      </c>
      <c r="D80" s="214" t="s">
        <v>105</v>
      </c>
      <c r="E80" s="215">
        <f>C80*4046.8564224</f>
        <v>3399359.394816</v>
      </c>
      <c r="F80" s="213">
        <v>87</v>
      </c>
      <c r="G80" s="214" t="s">
        <v>103</v>
      </c>
      <c r="H80" s="431">
        <f t="shared" ref="H80:H87" si="21">F80</f>
        <v>87</v>
      </c>
      <c r="I80" s="2108">
        <f t="shared" si="14"/>
        <v>9.2135006518471646E-5</v>
      </c>
      <c r="J80" s="519">
        <f t="shared" si="15"/>
        <v>1.5355834419745274E-3</v>
      </c>
      <c r="K80" s="519">
        <f t="shared" si="16"/>
        <v>2.5593057366242125E-5</v>
      </c>
      <c r="L80" s="759">
        <f t="shared" si="17"/>
        <v>5.7248046799100061E-5</v>
      </c>
      <c r="M80" s="746">
        <v>9.2135006518471606E-5</v>
      </c>
      <c r="N80" s="274">
        <v>1.5355799999999999E-3</v>
      </c>
      <c r="O80" s="742">
        <v>2.5593057366242101E-5</v>
      </c>
      <c r="P80" s="2172">
        <v>5.7248046799100102E-5</v>
      </c>
      <c r="Q80" s="745">
        <f t="shared" si="18"/>
        <v>4.4128266773449675E-16</v>
      </c>
      <c r="R80" s="222">
        <f t="shared" si="18"/>
        <v>2.2414767139054691E-6</v>
      </c>
      <c r="S80" s="222">
        <f t="shared" si="18"/>
        <v>9.2669360224244324E-16</v>
      </c>
      <c r="T80" s="223">
        <f t="shared" si="18"/>
        <v>-7.1020032545189909E-16</v>
      </c>
    </row>
    <row r="81" spans="3:35" ht="17.25" x14ac:dyDescent="0.25">
      <c r="C81" s="412">
        <v>611</v>
      </c>
      <c r="D81" s="214" t="s">
        <v>112</v>
      </c>
      <c r="E81" s="215">
        <f>C81/10000</f>
        <v>6.1100000000000002E-2</v>
      </c>
      <c r="F81" s="213">
        <v>637</v>
      </c>
      <c r="G81" s="214" t="s">
        <v>103</v>
      </c>
      <c r="H81" s="431">
        <f t="shared" si="21"/>
        <v>637</v>
      </c>
      <c r="I81" s="2108">
        <f t="shared" si="14"/>
        <v>37531.914893617017</v>
      </c>
      <c r="J81" s="519">
        <f t="shared" si="15"/>
        <v>625531.91489361692</v>
      </c>
      <c r="K81" s="519">
        <f t="shared" si="16"/>
        <v>10425.531914893616</v>
      </c>
      <c r="L81" s="759">
        <f t="shared" si="17"/>
        <v>23320.439228045867</v>
      </c>
      <c r="M81" s="412">
        <v>37531.9</v>
      </c>
      <c r="N81" s="274">
        <v>625532</v>
      </c>
      <c r="O81" s="274">
        <v>10425.5</v>
      </c>
      <c r="P81" s="216">
        <v>23320.400000000001</v>
      </c>
      <c r="Q81" s="745">
        <f t="shared" si="18"/>
        <v>3.9682539666700866E-7</v>
      </c>
      <c r="R81" s="222">
        <f t="shared" si="18"/>
        <v>-1.3605442192709569E-7</v>
      </c>
      <c r="S81" s="222">
        <f t="shared" si="18"/>
        <v>3.0612244896956887E-6</v>
      </c>
      <c r="T81" s="223">
        <f t="shared" si="18"/>
        <v>1.6821315191302216E-6</v>
      </c>
    </row>
    <row r="82" spans="3:35" ht="17.25" x14ac:dyDescent="0.25">
      <c r="C82" s="412">
        <v>320</v>
      </c>
      <c r="D82" s="214" t="s">
        <v>107</v>
      </c>
      <c r="E82" s="215">
        <f>C82/100</f>
        <v>3.2</v>
      </c>
      <c r="F82" s="213">
        <v>908</v>
      </c>
      <c r="G82" s="214" t="s">
        <v>103</v>
      </c>
      <c r="H82" s="431">
        <f t="shared" si="21"/>
        <v>908</v>
      </c>
      <c r="I82" s="2108">
        <f t="shared" si="14"/>
        <v>1021.5</v>
      </c>
      <c r="J82" s="519">
        <f t="shared" si="15"/>
        <v>17025</v>
      </c>
      <c r="K82" s="519">
        <f t="shared" si="16"/>
        <v>283.75</v>
      </c>
      <c r="L82" s="759">
        <f t="shared" si="17"/>
        <v>634.70858705107491</v>
      </c>
      <c r="M82" s="412">
        <v>1021.5</v>
      </c>
      <c r="N82" s="274">
        <v>17025</v>
      </c>
      <c r="O82" s="274">
        <v>283.75</v>
      </c>
      <c r="P82" s="216">
        <v>634.70899999999995</v>
      </c>
      <c r="Q82" s="745">
        <f t="shared" si="18"/>
        <v>0</v>
      </c>
      <c r="R82" s="222">
        <f t="shared" si="18"/>
        <v>0</v>
      </c>
      <c r="S82" s="222">
        <f t="shared" si="18"/>
        <v>0</v>
      </c>
      <c r="T82" s="223">
        <f t="shared" si="18"/>
        <v>-6.50611845272722E-7</v>
      </c>
    </row>
    <row r="83" spans="3:35" ht="17.25" x14ac:dyDescent="0.25">
      <c r="C83" s="412">
        <v>8811</v>
      </c>
      <c r="D83" s="214" t="s">
        <v>108</v>
      </c>
      <c r="E83" s="215">
        <f>C83*10000</f>
        <v>88110000</v>
      </c>
      <c r="F83" s="213">
        <v>897</v>
      </c>
      <c r="G83" s="214" t="s">
        <v>103</v>
      </c>
      <c r="H83" s="431">
        <f t="shared" si="21"/>
        <v>897</v>
      </c>
      <c r="I83" s="2108">
        <f t="shared" si="14"/>
        <v>3.6649642492339117E-5</v>
      </c>
      <c r="J83" s="519">
        <f t="shared" si="15"/>
        <v>6.1082737487231861E-4</v>
      </c>
      <c r="K83" s="519">
        <f t="shared" si="16"/>
        <v>1.0180456247871978E-5</v>
      </c>
      <c r="L83" s="759">
        <f t="shared" si="17"/>
        <v>2.277223964976955E-5</v>
      </c>
      <c r="M83" s="746">
        <v>3.6649642492339097E-5</v>
      </c>
      <c r="N83" s="274">
        <v>6.1082699999999998E-4</v>
      </c>
      <c r="O83" s="742">
        <v>1.0180456247872E-5</v>
      </c>
      <c r="P83" s="2172">
        <v>2.2772239649769601E-5</v>
      </c>
      <c r="Q83" s="745">
        <f t="shared" si="18"/>
        <v>5.54679100576562E-16</v>
      </c>
      <c r="R83" s="222">
        <f t="shared" si="18"/>
        <v>6.1371237447194181E-7</v>
      </c>
      <c r="S83" s="222">
        <f t="shared" si="18"/>
        <v>-2.1632484922485917E-15</v>
      </c>
      <c r="T83" s="223">
        <f t="shared" si="18"/>
        <v>-2.2317513611697973E-15</v>
      </c>
    </row>
    <row r="84" spans="3:35" ht="17.25" x14ac:dyDescent="0.25">
      <c r="C84" s="412">
        <v>246</v>
      </c>
      <c r="D84" s="214" t="s">
        <v>106</v>
      </c>
      <c r="E84" s="215">
        <f>C84</f>
        <v>246</v>
      </c>
      <c r="F84" s="412">
        <v>9</v>
      </c>
      <c r="G84" s="214" t="s">
        <v>103</v>
      </c>
      <c r="H84" s="431">
        <f t="shared" si="21"/>
        <v>9</v>
      </c>
      <c r="I84" s="2108">
        <f t="shared" si="14"/>
        <v>0.13170731707317071</v>
      </c>
      <c r="J84" s="519">
        <f t="shared" si="15"/>
        <v>2.1951219512195119</v>
      </c>
      <c r="K84" s="519">
        <f t="shared" si="16"/>
        <v>3.6585365853658534E-2</v>
      </c>
      <c r="L84" s="759">
        <f t="shared" si="17"/>
        <v>8.1836284996377975E-2</v>
      </c>
      <c r="M84" s="412">
        <v>0.13170699999999999</v>
      </c>
      <c r="N84" s="274">
        <v>2.1951200000000002</v>
      </c>
      <c r="O84" s="274">
        <v>3.6585399999999997E-2</v>
      </c>
      <c r="P84" s="216">
        <v>8.1836300000000001E-2</v>
      </c>
      <c r="Q84" s="745">
        <f t="shared" si="18"/>
        <v>2.4074074073121569E-6</v>
      </c>
      <c r="R84" s="222">
        <f t="shared" si="18"/>
        <v>8.8888888868253629E-7</v>
      </c>
      <c r="S84" s="222">
        <f t="shared" si="18"/>
        <v>-9.3333333331391277E-7</v>
      </c>
      <c r="T84" s="223">
        <f t="shared" si="18"/>
        <v>-1.8333703718341582E-7</v>
      </c>
    </row>
    <row r="85" spans="3:35" ht="17.25" x14ac:dyDescent="0.25">
      <c r="C85" s="412">
        <v>480</v>
      </c>
      <c r="D85" s="214" t="s">
        <v>109</v>
      </c>
      <c r="E85" s="215">
        <f>C85/1000000</f>
        <v>4.8000000000000001E-4</v>
      </c>
      <c r="F85" s="412">
        <v>5</v>
      </c>
      <c r="G85" s="214" t="s">
        <v>103</v>
      </c>
      <c r="H85" s="431">
        <f t="shared" si="21"/>
        <v>5</v>
      </c>
      <c r="I85" s="2108">
        <f t="shared" si="14"/>
        <v>37500</v>
      </c>
      <c r="J85" s="218">
        <f t="shared" si="15"/>
        <v>625000</v>
      </c>
      <c r="K85" s="519">
        <f t="shared" si="16"/>
        <v>10416.666666666666</v>
      </c>
      <c r="L85" s="759">
        <f t="shared" si="17"/>
        <v>23300.608922579842</v>
      </c>
      <c r="M85" s="412">
        <v>37500</v>
      </c>
      <c r="N85" s="274">
        <v>625000</v>
      </c>
      <c r="O85" s="274">
        <v>10416.700000000001</v>
      </c>
      <c r="P85" s="216">
        <v>23300.6</v>
      </c>
      <c r="Q85" s="745">
        <f t="shared" si="18"/>
        <v>0</v>
      </c>
      <c r="R85" s="222">
        <f t="shared" si="18"/>
        <v>0</v>
      </c>
      <c r="S85" s="222">
        <f t="shared" si="18"/>
        <v>-3.2000000001280568E-6</v>
      </c>
      <c r="T85" s="223">
        <f t="shared" si="18"/>
        <v>3.8293333334894853E-7</v>
      </c>
    </row>
    <row r="86" spans="3:35" ht="17.25" x14ac:dyDescent="0.25">
      <c r="C86" s="412">
        <v>630</v>
      </c>
      <c r="D86" s="214" t="s">
        <v>110</v>
      </c>
      <c r="E86" s="215">
        <f>C86*144/10000*(2.54*2.54)</f>
        <v>58.528915199999993</v>
      </c>
      <c r="F86" s="412">
        <v>4511</v>
      </c>
      <c r="G86" s="214" t="s">
        <v>103</v>
      </c>
      <c r="H86" s="431">
        <f t="shared" si="21"/>
        <v>4511</v>
      </c>
      <c r="I86" s="2108">
        <f t="shared" si="14"/>
        <v>277.46285651301463</v>
      </c>
      <c r="J86" s="519">
        <f t="shared" si="15"/>
        <v>4624.3809418835772</v>
      </c>
      <c r="K86" s="519">
        <f t="shared" si="16"/>
        <v>77.073015698059621</v>
      </c>
      <c r="L86" s="759">
        <f t="shared" si="17"/>
        <v>172.40142693737707</v>
      </c>
      <c r="M86" s="412">
        <v>277.46300000000002</v>
      </c>
      <c r="N86" s="274">
        <v>4624.38</v>
      </c>
      <c r="O86" s="274">
        <v>77.072999999999993</v>
      </c>
      <c r="P86" s="216">
        <v>172.40100000000001</v>
      </c>
      <c r="Q86" s="745">
        <f t="shared" si="18"/>
        <v>-5.1713943695761734E-7</v>
      </c>
      <c r="R86" s="222">
        <f t="shared" si="18"/>
        <v>2.0367776550143257E-7</v>
      </c>
      <c r="S86" s="222">
        <f t="shared" si="18"/>
        <v>2.0367776562435373E-7</v>
      </c>
      <c r="T86" s="223">
        <f t="shared" si="18"/>
        <v>2.4764144046904101E-6</v>
      </c>
    </row>
    <row r="87" spans="3:35" ht="18" thickBot="1" x14ac:dyDescent="0.3">
      <c r="C87" s="397">
        <v>570</v>
      </c>
      <c r="D87" s="398" t="s">
        <v>111</v>
      </c>
      <c r="E87" s="399">
        <f>C87/10000*(2.54*2.54)</f>
        <v>0.36774119999999999</v>
      </c>
      <c r="F87" s="397">
        <v>67</v>
      </c>
      <c r="G87" s="398" t="s">
        <v>103</v>
      </c>
      <c r="H87" s="432">
        <f t="shared" si="21"/>
        <v>67</v>
      </c>
      <c r="I87" s="2117">
        <f t="shared" si="14"/>
        <v>655.89604863420254</v>
      </c>
      <c r="J87" s="2121">
        <f t="shared" si="15"/>
        <v>10931.600810570042</v>
      </c>
      <c r="K87" s="2121">
        <f t="shared" si="16"/>
        <v>182.19334684283405</v>
      </c>
      <c r="L87" s="2118">
        <f t="shared" si="17"/>
        <v>407.54072861575901</v>
      </c>
      <c r="M87" s="397">
        <v>655.89599999999996</v>
      </c>
      <c r="N87" s="428">
        <v>10931.6</v>
      </c>
      <c r="O87" s="428">
        <v>182.19300000000001</v>
      </c>
      <c r="P87" s="410">
        <v>407.541</v>
      </c>
      <c r="Q87" s="554">
        <f t="shared" si="18"/>
        <v>7.414925381306317E-8</v>
      </c>
      <c r="R87" s="235">
        <f t="shared" si="18"/>
        <v>7.414925368826516E-8</v>
      </c>
      <c r="S87" s="235">
        <f t="shared" si="18"/>
        <v>1.9037074626730245E-6</v>
      </c>
      <c r="T87" s="236">
        <f t="shared" si="18"/>
        <v>-6.6590704175926781E-7</v>
      </c>
    </row>
    <row r="88" spans="3:35" ht="15.75" thickTop="1" x14ac:dyDescent="0.25"/>
    <row r="89" spans="3:35" ht="15.75" thickBot="1" x14ac:dyDescent="0.3"/>
    <row r="90" spans="3:35" ht="15.75" thickTop="1" x14ac:dyDescent="0.25">
      <c r="C90" s="2488" t="s">
        <v>0</v>
      </c>
      <c r="D90" s="2489"/>
      <c r="E90" s="2489"/>
      <c r="F90" s="2489"/>
      <c r="G90" s="2489"/>
      <c r="H90" s="2489"/>
      <c r="I90" s="2483" t="s">
        <v>158</v>
      </c>
      <c r="J90" s="2484"/>
      <c r="K90" s="2484"/>
      <c r="L90" s="2484"/>
      <c r="M90" s="2484"/>
      <c r="N90" s="2484"/>
      <c r="O90" s="2484"/>
      <c r="P90" s="2484"/>
      <c r="Q90" s="2485"/>
      <c r="R90" s="2488" t="s">
        <v>17</v>
      </c>
      <c r="S90" s="2489"/>
      <c r="T90" s="2489"/>
      <c r="U90" s="2489"/>
      <c r="V90" s="2489"/>
      <c r="W90" s="2489"/>
      <c r="X90" s="2489"/>
      <c r="Y90" s="2489"/>
      <c r="Z90" s="2495"/>
      <c r="AA90" s="2483" t="s">
        <v>8</v>
      </c>
      <c r="AB90" s="2484"/>
      <c r="AC90" s="2484"/>
      <c r="AD90" s="2484"/>
      <c r="AE90" s="2484"/>
      <c r="AF90" s="2484"/>
      <c r="AG90" s="2484"/>
      <c r="AH90" s="2484"/>
      <c r="AI90" s="2485"/>
    </row>
    <row r="91" spans="3:35" ht="15.75" thickBot="1" x14ac:dyDescent="0.3">
      <c r="C91" s="2486" t="s">
        <v>147</v>
      </c>
      <c r="D91" s="2487"/>
      <c r="E91" s="2487"/>
      <c r="F91" s="2486" t="s">
        <v>145</v>
      </c>
      <c r="G91" s="2487"/>
      <c r="H91" s="2487"/>
      <c r="I91" s="2480" t="s">
        <v>146</v>
      </c>
      <c r="J91" s="2481"/>
      <c r="K91" s="2481"/>
      <c r="L91" s="2481"/>
      <c r="M91" s="2481"/>
      <c r="N91" s="2481"/>
      <c r="O91" s="2481"/>
      <c r="P91" s="2481"/>
      <c r="Q91" s="2482"/>
      <c r="R91" s="2486" t="s">
        <v>146</v>
      </c>
      <c r="S91" s="2487"/>
      <c r="T91" s="2487"/>
      <c r="U91" s="2487"/>
      <c r="V91" s="2487"/>
      <c r="W91" s="2487"/>
      <c r="X91" s="2487"/>
      <c r="Y91" s="2487"/>
      <c r="Z91" s="2496"/>
      <c r="AA91" s="2480" t="s">
        <v>146</v>
      </c>
      <c r="AB91" s="2481"/>
      <c r="AC91" s="2481"/>
      <c r="AD91" s="2481"/>
      <c r="AE91" s="2481"/>
      <c r="AF91" s="2481"/>
      <c r="AG91" s="2481"/>
      <c r="AH91" s="2481"/>
      <c r="AI91" s="2482"/>
    </row>
    <row r="92" spans="3:35" ht="18" thickBot="1" x14ac:dyDescent="0.3">
      <c r="C92" s="82" t="s">
        <v>3</v>
      </c>
      <c r="D92" s="66" t="s">
        <v>4</v>
      </c>
      <c r="E92" s="84" t="s">
        <v>31</v>
      </c>
      <c r="F92" s="82" t="s">
        <v>3</v>
      </c>
      <c r="G92" s="66" t="s">
        <v>4</v>
      </c>
      <c r="H92" s="84" t="s">
        <v>103</v>
      </c>
      <c r="I92" s="86" t="s">
        <v>104</v>
      </c>
      <c r="J92" s="87" t="s">
        <v>105</v>
      </c>
      <c r="K92" s="87" t="s">
        <v>112</v>
      </c>
      <c r="L92" s="87" t="s">
        <v>107</v>
      </c>
      <c r="M92" s="87" t="s">
        <v>108</v>
      </c>
      <c r="N92" s="87" t="s">
        <v>106</v>
      </c>
      <c r="O92" s="87" t="s">
        <v>109</v>
      </c>
      <c r="P92" s="87" t="s">
        <v>110</v>
      </c>
      <c r="Q92" s="88" t="s">
        <v>111</v>
      </c>
      <c r="R92" s="82" t="s">
        <v>104</v>
      </c>
      <c r="S92" s="83" t="s">
        <v>105</v>
      </c>
      <c r="T92" s="83" t="s">
        <v>112</v>
      </c>
      <c r="U92" s="83" t="s">
        <v>107</v>
      </c>
      <c r="V92" s="83" t="s">
        <v>108</v>
      </c>
      <c r="W92" s="83" t="s">
        <v>106</v>
      </c>
      <c r="X92" s="83" t="s">
        <v>109</v>
      </c>
      <c r="Y92" s="83" t="s">
        <v>110</v>
      </c>
      <c r="Z92" s="85" t="s">
        <v>111</v>
      </c>
      <c r="AA92" s="86" t="s">
        <v>104</v>
      </c>
      <c r="AB92" s="87" t="s">
        <v>105</v>
      </c>
      <c r="AC92" s="87" t="s">
        <v>112</v>
      </c>
      <c r="AD92" s="87" t="s">
        <v>107</v>
      </c>
      <c r="AE92" s="87" t="s">
        <v>108</v>
      </c>
      <c r="AF92" s="87" t="s">
        <v>106</v>
      </c>
      <c r="AG92" s="87" t="s">
        <v>109</v>
      </c>
      <c r="AH92" s="87" t="s">
        <v>110</v>
      </c>
      <c r="AI92" s="88" t="s">
        <v>111</v>
      </c>
    </row>
    <row r="93" spans="3:35" ht="15.75" thickTop="1" x14ac:dyDescent="0.25">
      <c r="C93" s="1091">
        <v>350</v>
      </c>
      <c r="D93" s="1052" t="s">
        <v>36</v>
      </c>
      <c r="E93" s="1055">
        <f>C93*1000/3600</f>
        <v>97.222222222222229</v>
      </c>
      <c r="F93" s="1051">
        <v>648</v>
      </c>
      <c r="G93" s="1052" t="s">
        <v>100</v>
      </c>
      <c r="H93" s="1053">
        <f>F93/1000</f>
        <v>0.64800000000000002</v>
      </c>
      <c r="I93" s="1051">
        <f>N93/100</f>
        <v>6.6651428571428572E-5</v>
      </c>
      <c r="J93" s="1054">
        <f>N93/4046.8564224</f>
        <v>1.646992668247438E-6</v>
      </c>
      <c r="K93" s="1054">
        <f>N93*10000</f>
        <v>66.651428571428568</v>
      </c>
      <c r="L93" s="1054">
        <f>N93*100</f>
        <v>0.66651428571428573</v>
      </c>
      <c r="M93" s="1054">
        <f>N93/10000</f>
        <v>6.6651428571428577E-7</v>
      </c>
      <c r="N93" s="1054">
        <f>H93/E93</f>
        <v>6.6651428571428573E-3</v>
      </c>
      <c r="O93" s="1054">
        <f>N93*1000000</f>
        <v>6665.1428571428569</v>
      </c>
      <c r="P93" s="1054">
        <f>N93/144*10000/(2.54*2.54)</f>
        <v>7.1743000628858397E-2</v>
      </c>
      <c r="Q93" s="1055">
        <f>N93*10000/(2.54*2.54)</f>
        <v>10.330992090555609</v>
      </c>
      <c r="R93" s="2102">
        <v>6.6651428571428599E-5</v>
      </c>
      <c r="S93" s="1228">
        <v>1.6469926682474401E-6</v>
      </c>
      <c r="T93" s="1054">
        <v>66.651399999999995</v>
      </c>
      <c r="U93" s="1054">
        <v>0.66651400000000005</v>
      </c>
      <c r="V93" s="1228">
        <v>6.6651428571428598E-7</v>
      </c>
      <c r="W93" s="1054">
        <v>6.66514E-3</v>
      </c>
      <c r="X93" s="1054">
        <v>6665.14</v>
      </c>
      <c r="Y93" s="1054">
        <v>7.1743000000000001E-2</v>
      </c>
      <c r="Z93" s="1055">
        <v>10.331</v>
      </c>
      <c r="AA93" s="980">
        <f xml:space="preserve"> (I93-R93)/I93</f>
        <v>-4.0666876754321689E-16</v>
      </c>
      <c r="AB93" s="981">
        <f t="shared" ref="AB93:AI93" si="22" xml:space="preserve"> (J93-S93)/J93</f>
        <v>-1.2857266513451251E-15</v>
      </c>
      <c r="AC93" s="981">
        <f t="shared" si="22"/>
        <v>4.28669410165122E-7</v>
      </c>
      <c r="AD93" s="981">
        <f t="shared" si="22"/>
        <v>4.2866941009183051E-7</v>
      </c>
      <c r="AE93" s="981">
        <f t="shared" si="22"/>
        <v>-3.1770997464313815E-16</v>
      </c>
      <c r="AF93" s="981">
        <f t="shared" si="22"/>
        <v>4.2866941018552697E-7</v>
      </c>
      <c r="AG93" s="981">
        <f t="shared" si="22"/>
        <v>4.2866941006278046E-7</v>
      </c>
      <c r="AH93" s="981">
        <f t="shared" si="22"/>
        <v>8.7654320337901723E-9</v>
      </c>
      <c r="AI93" s="982">
        <f t="shared" si="22"/>
        <v>-7.6560356650926992E-7</v>
      </c>
    </row>
    <row r="94" spans="3:35" x14ac:dyDescent="0.25">
      <c r="C94" s="71">
        <v>1200</v>
      </c>
      <c r="D94" s="59" t="s">
        <v>37</v>
      </c>
      <c r="E94" s="889">
        <f>C94/60</f>
        <v>20</v>
      </c>
      <c r="F94" s="1059">
        <v>520</v>
      </c>
      <c r="G94" s="59" t="s">
        <v>100</v>
      </c>
      <c r="H94" s="32">
        <f>F94/1000</f>
        <v>0.52</v>
      </c>
      <c r="I94" s="1059">
        <f t="shared" ref="I94:I108" si="23">N94/100</f>
        <v>2.6000000000000003E-4</v>
      </c>
      <c r="J94" s="1060">
        <f t="shared" ref="J94:J108" si="24">N94/4046.8564224</f>
        <v>6.4247399181462994E-6</v>
      </c>
      <c r="K94" s="1060">
        <f t="shared" ref="K94:K108" si="25">N94*10000</f>
        <v>260</v>
      </c>
      <c r="L94" s="1060">
        <f t="shared" ref="L94:L108" si="26">N94*100</f>
        <v>2.6</v>
      </c>
      <c r="M94" s="1060">
        <f t="shared" ref="M94:M108" si="27">N94/10000</f>
        <v>2.6000000000000001E-6</v>
      </c>
      <c r="N94" s="1060">
        <f t="shared" ref="N94:N108" si="28">H94/E94</f>
        <v>2.6000000000000002E-2</v>
      </c>
      <c r="O94" s="1060">
        <f t="shared" ref="O94:O108" si="29">N94*1000000</f>
        <v>26000.000000000004</v>
      </c>
      <c r="P94" s="1060">
        <f t="shared" ref="P94:P108" si="30">N94/144*10000/(2.54*2.54)</f>
        <v>0.27986167083445279</v>
      </c>
      <c r="Q94" s="889">
        <f t="shared" ref="Q94:Q108" si="31">N94*10000/(2.54*2.54)</f>
        <v>40.300080600161202</v>
      </c>
      <c r="R94" s="1059">
        <v>2.5999999999999998E-4</v>
      </c>
      <c r="S94" s="1110">
        <v>6.4247399181463002E-6</v>
      </c>
      <c r="T94" s="1060">
        <v>260</v>
      </c>
      <c r="U94" s="1060">
        <v>2.6</v>
      </c>
      <c r="V94" s="1110">
        <v>2.6000000000000001E-6</v>
      </c>
      <c r="W94" s="1060">
        <v>2.5999999999999999E-2</v>
      </c>
      <c r="X94" s="1060">
        <v>26000</v>
      </c>
      <c r="Y94" s="1060">
        <v>0.279862</v>
      </c>
      <c r="Z94" s="889">
        <v>40.3001</v>
      </c>
      <c r="AA94" s="897">
        <f t="shared" ref="AA94:AA108" si="32" xml:space="preserve"> (I94-R94)/I94</f>
        <v>2.0850041778567391E-16</v>
      </c>
      <c r="AB94" s="898">
        <f t="shared" ref="AB94:AB108" si="33" xml:space="preserve"> (J94-S94)/J94</f>
        <v>-1.3183925856078713E-16</v>
      </c>
      <c r="AC94" s="898">
        <f t="shared" ref="AC94:AC108" si="34" xml:space="preserve"> (K94-T94)/K94</f>
        <v>0</v>
      </c>
      <c r="AD94" s="898">
        <f t="shared" ref="AD94:AD108" si="35" xml:space="preserve"> (L94-U94)/L94</f>
        <v>0</v>
      </c>
      <c r="AE94" s="898">
        <f t="shared" ref="AE94:AE108" si="36" xml:space="preserve"> (M94-V94)/M94</f>
        <v>0</v>
      </c>
      <c r="AF94" s="898">
        <f t="shared" ref="AF94:AF108" si="37" xml:space="preserve"> (N94-W94)/N94</f>
        <v>1.3344026738283131E-16</v>
      </c>
      <c r="AG94" s="898">
        <f t="shared" ref="AG94:AG108" si="38" xml:space="preserve"> (O94-X94)/O94</f>
        <v>1.3992226181121971E-16</v>
      </c>
      <c r="AH94" s="898">
        <f t="shared" ref="AH94:AH108" si="39" xml:space="preserve"> (P94-Y94)/P94</f>
        <v>-1.1761723076501599E-6</v>
      </c>
      <c r="AI94" s="899">
        <f t="shared" ref="AI94:AI108" si="40" xml:space="preserve"> (Q94-Z94)/Q94</f>
        <v>-4.8138461535554732E-7</v>
      </c>
    </row>
    <row r="95" spans="3:35" x14ac:dyDescent="0.25">
      <c r="C95" s="900">
        <v>520</v>
      </c>
      <c r="D95" s="59" t="s">
        <v>31</v>
      </c>
      <c r="E95" s="889">
        <f>C95</f>
        <v>520</v>
      </c>
      <c r="F95" s="1059">
        <v>980</v>
      </c>
      <c r="G95" s="59" t="s">
        <v>100</v>
      </c>
      <c r="H95" s="32">
        <f>F95/1000</f>
        <v>0.98</v>
      </c>
      <c r="I95" s="1059">
        <f t="shared" si="23"/>
        <v>1.8846153846153846E-5</v>
      </c>
      <c r="J95" s="1060">
        <f t="shared" si="24"/>
        <v>4.6569860353427308E-7</v>
      </c>
      <c r="K95" s="1060">
        <f t="shared" si="25"/>
        <v>18.846153846153847</v>
      </c>
      <c r="L95" s="1060">
        <f t="shared" si="26"/>
        <v>0.18846153846153846</v>
      </c>
      <c r="M95" s="1060">
        <f t="shared" si="27"/>
        <v>1.8846153846153846E-7</v>
      </c>
      <c r="N95" s="1060">
        <f t="shared" si="28"/>
        <v>1.8846153846153845E-3</v>
      </c>
      <c r="O95" s="1060">
        <f t="shared" si="29"/>
        <v>1884.6153846153845</v>
      </c>
      <c r="P95" s="1060">
        <f t="shared" si="30"/>
        <v>2.0285831169952938E-2</v>
      </c>
      <c r="Q95" s="889">
        <f t="shared" si="31"/>
        <v>2.9211596884732232</v>
      </c>
      <c r="R95" s="1117">
        <v>1.8846153846153799E-5</v>
      </c>
      <c r="S95" s="1110">
        <v>4.6569860353427298E-7</v>
      </c>
      <c r="T95" s="1060">
        <v>18.8462</v>
      </c>
      <c r="U95" s="1060">
        <v>0.18846199999999999</v>
      </c>
      <c r="V95" s="1110">
        <v>1.8846153846153801E-7</v>
      </c>
      <c r="W95" s="1060">
        <v>1.88462E-3</v>
      </c>
      <c r="X95" s="1060">
        <v>1884.62</v>
      </c>
      <c r="Y95" s="1060">
        <v>2.02858E-2</v>
      </c>
      <c r="Z95" s="889">
        <v>2.92116</v>
      </c>
      <c r="AA95" s="897">
        <f t="shared" si="32"/>
        <v>2.5168979004127781E-15</v>
      </c>
      <c r="AB95" s="898">
        <f t="shared" si="33"/>
        <v>2.2735545608952073E-16</v>
      </c>
      <c r="AC95" s="898">
        <f t="shared" si="34"/>
        <v>-2.4489795917875246E-6</v>
      </c>
      <c r="AD95" s="898">
        <f t="shared" si="35"/>
        <v>-2.4489795918051975E-6</v>
      </c>
      <c r="AE95" s="898">
        <f t="shared" si="36"/>
        <v>2.3876821599898006E-15</v>
      </c>
      <c r="AF95" s="898">
        <f t="shared" si="37"/>
        <v>-2.4489795919018465E-6</v>
      </c>
      <c r="AG95" s="898">
        <f t="shared" si="38"/>
        <v>-2.4489795918252269E-6</v>
      </c>
      <c r="AH95" s="898">
        <f t="shared" si="39"/>
        <v>1.5365381224476929E-6</v>
      </c>
      <c r="AI95" s="899">
        <f t="shared" si="40"/>
        <v>-1.0664489793170858E-7</v>
      </c>
    </row>
    <row r="96" spans="3:35" ht="15.75" thickBot="1" x14ac:dyDescent="0.3">
      <c r="C96" s="952">
        <v>9</v>
      </c>
      <c r="D96" s="953" t="s">
        <v>38</v>
      </c>
      <c r="E96" s="954">
        <f>C96*1609.4/3600</f>
        <v>4.0235000000000003</v>
      </c>
      <c r="F96" s="1064">
        <v>640</v>
      </c>
      <c r="G96" s="953" t="s">
        <v>100</v>
      </c>
      <c r="H96" s="1065">
        <f>F96/1000</f>
        <v>0.64</v>
      </c>
      <c r="I96" s="1064">
        <f t="shared" si="23"/>
        <v>1.5906549024481173E-3</v>
      </c>
      <c r="J96" s="1066">
        <f t="shared" si="24"/>
        <v>3.930593864520587E-5</v>
      </c>
      <c r="K96" s="1066">
        <f t="shared" si="25"/>
        <v>1590.6549024481174</v>
      </c>
      <c r="L96" s="1066">
        <f t="shared" si="26"/>
        <v>15.906549024481173</v>
      </c>
      <c r="M96" s="1066">
        <f t="shared" si="27"/>
        <v>1.5906549024481172E-5</v>
      </c>
      <c r="N96" s="1066">
        <f t="shared" si="28"/>
        <v>0.15906549024481173</v>
      </c>
      <c r="O96" s="1066">
        <f t="shared" si="29"/>
        <v>159065.49024481172</v>
      </c>
      <c r="P96" s="1066">
        <f t="shared" si="30"/>
        <v>1.712166687385168</v>
      </c>
      <c r="Q96" s="954">
        <f t="shared" si="31"/>
        <v>246.55200298346415</v>
      </c>
      <c r="R96" s="1064">
        <v>1.5906500000000001E-3</v>
      </c>
      <c r="S96" s="1119">
        <v>3.9305938645205897E-5</v>
      </c>
      <c r="T96" s="1066">
        <v>1590.65</v>
      </c>
      <c r="U96" s="1066">
        <v>15.906499999999999</v>
      </c>
      <c r="V96" s="1119">
        <v>1.5906549024481199E-5</v>
      </c>
      <c r="W96" s="1066">
        <v>0.15906500000000001</v>
      </c>
      <c r="X96" s="1066">
        <v>159065</v>
      </c>
      <c r="Y96" s="1066">
        <v>1.71217</v>
      </c>
      <c r="Z96" s="954">
        <v>246.55199999999999</v>
      </c>
      <c r="AA96" s="911">
        <f t="shared" si="32"/>
        <v>3.0820312499089532E-6</v>
      </c>
      <c r="AB96" s="912">
        <f t="shared" si="33"/>
        <v>-6.8959183386512517E-16</v>
      </c>
      <c r="AC96" s="912">
        <f t="shared" si="34"/>
        <v>3.0820312499703915E-6</v>
      </c>
      <c r="AD96" s="912">
        <f t="shared" si="35"/>
        <v>3.0820312500105946E-6</v>
      </c>
      <c r="AE96" s="912">
        <f t="shared" si="36"/>
        <v>-1.7040185316388389E-15</v>
      </c>
      <c r="AF96" s="912">
        <f t="shared" si="37"/>
        <v>3.0820312499198588E-6</v>
      </c>
      <c r="AG96" s="912">
        <f t="shared" si="38"/>
        <v>3.0820312499360854E-6</v>
      </c>
      <c r="AH96" s="912">
        <f t="shared" si="39"/>
        <v>-1.9347501948278367E-6</v>
      </c>
      <c r="AI96" s="913">
        <f t="shared" si="40"/>
        <v>1.2100750026411617E-8</v>
      </c>
    </row>
    <row r="97" spans="3:35" ht="18" thickTop="1" x14ac:dyDescent="0.25">
      <c r="C97" s="1332">
        <v>154</v>
      </c>
      <c r="D97" s="1333" t="s">
        <v>36</v>
      </c>
      <c r="E97" s="1334">
        <f>C97*1000/3600</f>
        <v>42.777777777777779</v>
      </c>
      <c r="F97" s="1431">
        <v>250</v>
      </c>
      <c r="G97" s="1333" t="s">
        <v>101</v>
      </c>
      <c r="H97" s="1334">
        <f>F97/3600</f>
        <v>6.9444444444444448E-2</v>
      </c>
      <c r="I97" s="1431">
        <f t="shared" si="23"/>
        <v>1.6233766233766234E-5</v>
      </c>
      <c r="J97" s="1442">
        <f t="shared" si="24"/>
        <v>4.0114509978435931E-7</v>
      </c>
      <c r="K97" s="1442">
        <f t="shared" si="25"/>
        <v>16.233766233766236</v>
      </c>
      <c r="L97" s="1442">
        <f t="shared" si="26"/>
        <v>0.16233766233766234</v>
      </c>
      <c r="M97" s="1442">
        <f t="shared" si="27"/>
        <v>1.6233766233766235E-7</v>
      </c>
      <c r="N97" s="1442">
        <f t="shared" si="28"/>
        <v>1.6233766233766235E-3</v>
      </c>
      <c r="O97" s="1442">
        <f t="shared" si="29"/>
        <v>1623.3766233766235</v>
      </c>
      <c r="P97" s="1442">
        <f t="shared" si="30"/>
        <v>1.7473880546606691E-2</v>
      </c>
      <c r="Q97" s="1370">
        <f t="shared" si="31"/>
        <v>2.5162387987113641</v>
      </c>
      <c r="R97" s="1502">
        <v>1.62337662337662E-5</v>
      </c>
      <c r="S97" s="1497">
        <v>4.0114509978435899E-7</v>
      </c>
      <c r="T97" s="1442">
        <v>16.233799999999999</v>
      </c>
      <c r="U97" s="1442">
        <v>0.16233800000000001</v>
      </c>
      <c r="V97" s="1497">
        <v>1.6233766233766201E-7</v>
      </c>
      <c r="W97" s="1442">
        <v>1.62338E-3</v>
      </c>
      <c r="X97" s="1442">
        <v>1623.38</v>
      </c>
      <c r="Y97" s="1442">
        <v>1.7473900000000001E-2</v>
      </c>
      <c r="Z97" s="1370">
        <v>2.5162399999999998</v>
      </c>
      <c r="AA97" s="1265">
        <f t="shared" si="32"/>
        <v>2.087089182034596E-15</v>
      </c>
      <c r="AB97" s="1266">
        <f t="shared" si="33"/>
        <v>7.9182658691608764E-16</v>
      </c>
      <c r="AC97" s="1266">
        <f t="shared" si="34"/>
        <v>-2.0799999997905156E-6</v>
      </c>
      <c r="AD97" s="1266">
        <f t="shared" si="35"/>
        <v>-2.080000000070914E-6</v>
      </c>
      <c r="AE97" s="1266">
        <f t="shared" si="36"/>
        <v>2.1196999505038866E-15</v>
      </c>
      <c r="AF97" s="1266">
        <f t="shared" si="37"/>
        <v>-2.0799999999373403E-6</v>
      </c>
      <c r="AG97" s="1266">
        <f t="shared" si="38"/>
        <v>-2.0800000000181172E-6</v>
      </c>
      <c r="AH97" s="1266">
        <f t="shared" si="39"/>
        <v>-1.1132840960843777E-6</v>
      </c>
      <c r="AI97" s="1267">
        <f t="shared" si="40"/>
        <v>-4.7741439973517537E-7</v>
      </c>
    </row>
    <row r="98" spans="3:35" ht="17.25" x14ac:dyDescent="0.25">
      <c r="C98" s="1268">
        <v>9</v>
      </c>
      <c r="D98" s="1269" t="s">
        <v>37</v>
      </c>
      <c r="E98" s="1254">
        <f>C98/60</f>
        <v>0.15</v>
      </c>
      <c r="F98" s="1435">
        <v>741</v>
      </c>
      <c r="G98" s="1269" t="s">
        <v>101</v>
      </c>
      <c r="H98" s="1254">
        <f>F98/3600</f>
        <v>0.20583333333333334</v>
      </c>
      <c r="I98" s="1435">
        <f t="shared" si="23"/>
        <v>1.3722222222222222E-2</v>
      </c>
      <c r="J98" s="1446">
        <f t="shared" si="24"/>
        <v>3.3908349567994355E-4</v>
      </c>
      <c r="K98" s="1446">
        <f t="shared" si="25"/>
        <v>13722.222222222223</v>
      </c>
      <c r="L98" s="1446">
        <f t="shared" si="26"/>
        <v>137.22222222222223</v>
      </c>
      <c r="M98" s="1446">
        <f t="shared" si="27"/>
        <v>1.3722222222222223E-4</v>
      </c>
      <c r="N98" s="1446">
        <f t="shared" si="28"/>
        <v>1.3722222222222222</v>
      </c>
      <c r="O98" s="1446">
        <f t="shared" si="29"/>
        <v>1372222.2222222222</v>
      </c>
      <c r="P98" s="1446">
        <f t="shared" si="30"/>
        <v>14.770477071818339</v>
      </c>
      <c r="Q98" s="1270">
        <f t="shared" si="31"/>
        <v>2126.948698341841</v>
      </c>
      <c r="R98" s="1435">
        <v>1.37222E-2</v>
      </c>
      <c r="S98" s="1446">
        <v>3.3908300000000001E-4</v>
      </c>
      <c r="T98" s="1446">
        <v>13722.2</v>
      </c>
      <c r="U98" s="1446">
        <v>137.22200000000001</v>
      </c>
      <c r="V98" s="1446">
        <v>1.37222E-4</v>
      </c>
      <c r="W98" s="1446">
        <v>1.37222</v>
      </c>
      <c r="X98" s="1446">
        <v>1372222</v>
      </c>
      <c r="Y98" s="1446">
        <v>14.7705</v>
      </c>
      <c r="Z98" s="1270">
        <v>2126.9499999999998</v>
      </c>
      <c r="AA98" s="1277">
        <f t="shared" si="32"/>
        <v>1.6194331983709492E-6</v>
      </c>
      <c r="AB98" s="1278">
        <f t="shared" si="33"/>
        <v>1.4618226774752961E-6</v>
      </c>
      <c r="AC98" s="1278">
        <f t="shared" si="34"/>
        <v>1.6194331983570009E-6</v>
      </c>
      <c r="AD98" s="1278">
        <f t="shared" si="35"/>
        <v>1.6194331983652858E-6</v>
      </c>
      <c r="AE98" s="1278">
        <f t="shared" si="36"/>
        <v>1.6194331984499598E-6</v>
      </c>
      <c r="AF98" s="1278">
        <f t="shared" si="37"/>
        <v>1.619433198391176E-6</v>
      </c>
      <c r="AG98" s="1278">
        <f t="shared" si="38"/>
        <v>1.6194331985690935E-7</v>
      </c>
      <c r="AH98" s="1278">
        <f t="shared" si="39"/>
        <v>-1.552297975843786E-6</v>
      </c>
      <c r="AI98" s="1279">
        <f t="shared" si="40"/>
        <v>-6.1198380563845812E-7</v>
      </c>
    </row>
    <row r="99" spans="3:35" ht="17.25" x14ac:dyDescent="0.25">
      <c r="C99" s="1268">
        <v>5698</v>
      </c>
      <c r="D99" s="1269" t="s">
        <v>31</v>
      </c>
      <c r="E99" s="1270">
        <f>C99</f>
        <v>5698</v>
      </c>
      <c r="F99" s="1435">
        <v>61</v>
      </c>
      <c r="G99" s="1269" t="s">
        <v>101</v>
      </c>
      <c r="H99" s="1254">
        <f>F99/3600</f>
        <v>1.6944444444444446E-2</v>
      </c>
      <c r="I99" s="1435">
        <f t="shared" si="23"/>
        <v>2.9737529737529739E-8</v>
      </c>
      <c r="J99" s="1446">
        <f t="shared" si="24"/>
        <v>7.3483036296834589E-10</v>
      </c>
      <c r="K99" s="1446">
        <f t="shared" si="25"/>
        <v>2.9737529737529741E-2</v>
      </c>
      <c r="L99" s="1446">
        <f t="shared" si="26"/>
        <v>2.9737529737529741E-4</v>
      </c>
      <c r="M99" s="1446">
        <f t="shared" si="27"/>
        <v>2.9737529737529741E-10</v>
      </c>
      <c r="N99" s="1446">
        <f t="shared" si="28"/>
        <v>2.973752973752974E-6</v>
      </c>
      <c r="O99" s="1446">
        <f t="shared" si="29"/>
        <v>2.973752973752974</v>
      </c>
      <c r="P99" s="1446">
        <f t="shared" si="30"/>
        <v>3.2009210610901147E-5</v>
      </c>
      <c r="Q99" s="1270">
        <f t="shared" si="31"/>
        <v>4.6093263279697655E-3</v>
      </c>
      <c r="R99" s="1499">
        <v>2.9737529737529699E-8</v>
      </c>
      <c r="S99" s="1477">
        <v>7.3483036296834599E-10</v>
      </c>
      <c r="T99" s="1446">
        <v>2.97375E-2</v>
      </c>
      <c r="U99" s="1446">
        <v>2.97375E-4</v>
      </c>
      <c r="V99" s="1477">
        <v>2.9737529737529699E-10</v>
      </c>
      <c r="W99" s="1477">
        <v>2.9737529737529701E-6</v>
      </c>
      <c r="X99" s="1446">
        <v>2.9737499999999999</v>
      </c>
      <c r="Y99" s="1477">
        <v>3.2009210610901099E-5</v>
      </c>
      <c r="Z99" s="1270">
        <v>4.60933E-3</v>
      </c>
      <c r="AA99" s="1277">
        <f t="shared" si="32"/>
        <v>1.3351703975746423E-15</v>
      </c>
      <c r="AB99" s="1278">
        <f t="shared" si="33"/>
        <v>-1.4070945047977352E-16</v>
      </c>
      <c r="AC99" s="1278">
        <f t="shared" si="34"/>
        <v>1.0000000001083958E-6</v>
      </c>
      <c r="AD99" s="1278">
        <f t="shared" si="35"/>
        <v>1.0000000000865203E-6</v>
      </c>
      <c r="AE99" s="1278">
        <f t="shared" si="36"/>
        <v>1.3908024974735856E-15</v>
      </c>
      <c r="AF99" s="1278">
        <f t="shared" si="37"/>
        <v>1.2817635816716565E-15</v>
      </c>
      <c r="AG99" s="1278">
        <f t="shared" si="38"/>
        <v>1.0000000001130625E-6</v>
      </c>
      <c r="AH99" s="1278">
        <f t="shared" si="39"/>
        <v>1.4818811254935046E-15</v>
      </c>
      <c r="AI99" s="1279">
        <f t="shared" si="40"/>
        <v>-7.9665225963409179E-7</v>
      </c>
    </row>
    <row r="100" spans="3:35" ht="18" thickBot="1" x14ac:dyDescent="0.3">
      <c r="C100" s="1362">
        <v>96</v>
      </c>
      <c r="D100" s="1348" t="s">
        <v>38</v>
      </c>
      <c r="E100" s="1351">
        <f>C100*1609.4/3600</f>
        <v>42.917333333333339</v>
      </c>
      <c r="F100" s="1440">
        <v>1255</v>
      </c>
      <c r="G100" s="1348" t="s">
        <v>101</v>
      </c>
      <c r="H100" s="1351">
        <f>F100/3600</f>
        <v>0.34861111111111109</v>
      </c>
      <c r="I100" s="1440">
        <f t="shared" si="23"/>
        <v>8.1228511660660281E-5</v>
      </c>
      <c r="J100" s="1451">
        <f t="shared" si="24"/>
        <v>2.0072002359917546E-6</v>
      </c>
      <c r="K100" s="1451">
        <f t="shared" si="25"/>
        <v>81.228511660660274</v>
      </c>
      <c r="L100" s="1451">
        <f t="shared" si="26"/>
        <v>0.81228511660660274</v>
      </c>
      <c r="M100" s="1451">
        <f t="shared" si="27"/>
        <v>8.122851166066028E-7</v>
      </c>
      <c r="N100" s="1451">
        <f t="shared" si="28"/>
        <v>8.1228511660660276E-3</v>
      </c>
      <c r="O100" s="1451">
        <f t="shared" si="29"/>
        <v>8122.8511660660279</v>
      </c>
      <c r="P100" s="1451">
        <f t="shared" si="30"/>
        <v>8.7433642279800827E-2</v>
      </c>
      <c r="Q100" s="1375">
        <f t="shared" si="31"/>
        <v>12.590444488291318</v>
      </c>
      <c r="R100" s="2198">
        <v>8.1228511660660295E-5</v>
      </c>
      <c r="S100" s="1501">
        <v>2.0072002359917499E-6</v>
      </c>
      <c r="T100" s="1451">
        <v>81.228499999999997</v>
      </c>
      <c r="U100" s="1451">
        <v>0.81228500000000003</v>
      </c>
      <c r="V100" s="1501">
        <v>8.1228511660660301E-7</v>
      </c>
      <c r="W100" s="1451">
        <v>8.1228499999999992E-3</v>
      </c>
      <c r="X100" s="1451">
        <v>8122.85</v>
      </c>
      <c r="Y100" s="1451">
        <v>8.74336E-2</v>
      </c>
      <c r="Z100" s="1375">
        <v>12.590400000000001</v>
      </c>
      <c r="AA100" s="1296">
        <f t="shared" si="32"/>
        <v>-1.6684445989464583E-16</v>
      </c>
      <c r="AB100" s="1297">
        <f t="shared" si="33"/>
        <v>2.3209847858536169E-15</v>
      </c>
      <c r="AC100" s="1297">
        <f t="shared" si="34"/>
        <v>1.4355378473596488E-7</v>
      </c>
      <c r="AD100" s="1297">
        <f t="shared" si="35"/>
        <v>1.4355378465395748E-7</v>
      </c>
      <c r="AE100" s="1297">
        <f t="shared" si="36"/>
        <v>-2.6069446858538409E-16</v>
      </c>
      <c r="AF100" s="1297">
        <f t="shared" si="37"/>
        <v>1.4355378482480622E-7</v>
      </c>
      <c r="AG100" s="1297">
        <f t="shared" si="38"/>
        <v>1.4355378470797301E-7</v>
      </c>
      <c r="AH100" s="1297">
        <f t="shared" si="39"/>
        <v>4.8356444641466509E-7</v>
      </c>
      <c r="AI100" s="1298">
        <f t="shared" si="40"/>
        <v>3.5334964829007771E-6</v>
      </c>
    </row>
    <row r="101" spans="3:35" ht="18" thickTop="1" x14ac:dyDescent="0.25">
      <c r="C101" s="128">
        <v>499</v>
      </c>
      <c r="D101" s="146" t="s">
        <v>36</v>
      </c>
      <c r="E101" s="147">
        <f>C101*1000/3600</f>
        <v>138.61111111111111</v>
      </c>
      <c r="F101" s="311">
        <v>760</v>
      </c>
      <c r="G101" s="146" t="s">
        <v>102</v>
      </c>
      <c r="H101" s="147">
        <f>F101/60</f>
        <v>12.666666666666666</v>
      </c>
      <c r="I101" s="311">
        <f t="shared" si="23"/>
        <v>9.1382765531062117E-4</v>
      </c>
      <c r="J101" s="116">
        <f t="shared" si="24"/>
        <v>2.2581173136077631E-5</v>
      </c>
      <c r="K101" s="116">
        <f t="shared" si="25"/>
        <v>913.82765531062114</v>
      </c>
      <c r="L101" s="116">
        <f t="shared" si="26"/>
        <v>9.1382765531062109</v>
      </c>
      <c r="M101" s="116">
        <f t="shared" si="27"/>
        <v>9.1382765531062122E-6</v>
      </c>
      <c r="N101" s="116">
        <f t="shared" si="28"/>
        <v>9.1382765531062116E-2</v>
      </c>
      <c r="O101" s="116">
        <f t="shared" si="29"/>
        <v>91382.765531062119</v>
      </c>
      <c r="P101" s="116">
        <f t="shared" si="30"/>
        <v>0.98363590180754157</v>
      </c>
      <c r="Q101" s="115">
        <f t="shared" si="31"/>
        <v>141.64356986028599</v>
      </c>
      <c r="R101" s="311">
        <v>9.1382799999999999E-4</v>
      </c>
      <c r="S101" s="738">
        <v>2.2581173136077601E-5</v>
      </c>
      <c r="T101" s="116">
        <v>913.82799999999997</v>
      </c>
      <c r="U101" s="116">
        <v>9.13828</v>
      </c>
      <c r="V101" s="738">
        <v>9.1382765531062105E-6</v>
      </c>
      <c r="W101" s="116">
        <v>9.13828E-2</v>
      </c>
      <c r="X101" s="116">
        <v>91382.8</v>
      </c>
      <c r="Y101" s="116">
        <v>0.98363599999999995</v>
      </c>
      <c r="Z101" s="115">
        <v>141.64400000000001</v>
      </c>
      <c r="AA101" s="200">
        <f t="shared" si="32"/>
        <v>-3.7719298252342239E-7</v>
      </c>
      <c r="AB101" s="201">
        <f t="shared" si="33"/>
        <v>1.3503809530797259E-15</v>
      </c>
      <c r="AC101" s="201">
        <f t="shared" si="34"/>
        <v>-3.7719298254096275E-7</v>
      </c>
      <c r="AD101" s="201">
        <f t="shared" si="35"/>
        <v>-3.771929826187173E-7</v>
      </c>
      <c r="AE101" s="201">
        <f t="shared" si="36"/>
        <v>1.8538133363153328E-16</v>
      </c>
      <c r="AF101" s="201">
        <f t="shared" si="37"/>
        <v>-3.7719298255189699E-7</v>
      </c>
      <c r="AG101" s="201">
        <f t="shared" si="38"/>
        <v>-3.771929825409627E-7</v>
      </c>
      <c r="AH101" s="201">
        <f t="shared" si="39"/>
        <v>-9.982602119956449E-8</v>
      </c>
      <c r="AI101" s="202">
        <f t="shared" si="40"/>
        <v>-3.0367754387777142E-6</v>
      </c>
    </row>
    <row r="102" spans="3:35" ht="17.25" x14ac:dyDescent="0.25">
      <c r="C102" s="93">
        <v>60</v>
      </c>
      <c r="D102" s="62" t="s">
        <v>37</v>
      </c>
      <c r="E102" s="34">
        <f>C102/60</f>
        <v>1</v>
      </c>
      <c r="F102" s="310">
        <v>840</v>
      </c>
      <c r="G102" s="62" t="s">
        <v>102</v>
      </c>
      <c r="H102" s="34">
        <f>F102/60</f>
        <v>14</v>
      </c>
      <c r="I102" s="310">
        <f t="shared" si="23"/>
        <v>0.14000000000000001</v>
      </c>
      <c r="J102" s="117">
        <f t="shared" si="24"/>
        <v>3.4594753405403147E-3</v>
      </c>
      <c r="K102" s="117">
        <f t="shared" si="25"/>
        <v>140000</v>
      </c>
      <c r="L102" s="117">
        <f t="shared" si="26"/>
        <v>1400</v>
      </c>
      <c r="M102" s="117">
        <f t="shared" si="27"/>
        <v>1.4E-3</v>
      </c>
      <c r="N102" s="117">
        <f t="shared" si="28"/>
        <v>14</v>
      </c>
      <c r="O102" s="117">
        <f t="shared" si="29"/>
        <v>14000000</v>
      </c>
      <c r="P102" s="117">
        <f t="shared" si="30"/>
        <v>150.69474583393611</v>
      </c>
      <c r="Q102" s="35">
        <f t="shared" si="31"/>
        <v>21700.043400086801</v>
      </c>
      <c r="R102" s="310">
        <v>0.14000000000000001</v>
      </c>
      <c r="S102" s="117">
        <v>3.45948E-3</v>
      </c>
      <c r="T102" s="117">
        <v>140000</v>
      </c>
      <c r="U102" s="117">
        <v>1400</v>
      </c>
      <c r="V102" s="117">
        <v>1.4E-3</v>
      </c>
      <c r="W102" s="117">
        <v>14</v>
      </c>
      <c r="X102" s="117">
        <v>14000000</v>
      </c>
      <c r="Y102" s="117">
        <v>150.69499999999999</v>
      </c>
      <c r="Z102" s="35">
        <v>21700</v>
      </c>
      <c r="AA102" s="155">
        <f t="shared" si="32"/>
        <v>0</v>
      </c>
      <c r="AB102" s="156">
        <f t="shared" si="33"/>
        <v>-1.3468688823043785E-6</v>
      </c>
      <c r="AC102" s="156">
        <f t="shared" si="34"/>
        <v>0</v>
      </c>
      <c r="AD102" s="156">
        <f t="shared" si="35"/>
        <v>0</v>
      </c>
      <c r="AE102" s="156">
        <f t="shared" si="36"/>
        <v>0</v>
      </c>
      <c r="AF102" s="156">
        <f t="shared" si="37"/>
        <v>0</v>
      </c>
      <c r="AG102" s="156">
        <f t="shared" si="38"/>
        <v>0</v>
      </c>
      <c r="AH102" s="156">
        <f t="shared" si="39"/>
        <v>-1.6866285713949817E-6</v>
      </c>
      <c r="AI102" s="157">
        <f t="shared" si="40"/>
        <v>2.0000000000302369E-6</v>
      </c>
    </row>
    <row r="103" spans="3:35" ht="17.25" x14ac:dyDescent="0.25">
      <c r="C103" s="72">
        <v>840</v>
      </c>
      <c r="D103" s="62" t="s">
        <v>31</v>
      </c>
      <c r="E103" s="34">
        <f>C103</f>
        <v>840</v>
      </c>
      <c r="F103" s="310">
        <v>650</v>
      </c>
      <c r="G103" s="62" t="s">
        <v>102</v>
      </c>
      <c r="H103" s="34">
        <f>F103/60</f>
        <v>10.833333333333334</v>
      </c>
      <c r="I103" s="310">
        <f t="shared" si="23"/>
        <v>1.2896825396825398E-4</v>
      </c>
      <c r="J103" s="117">
        <f t="shared" si="24"/>
        <v>3.186874959397966E-6</v>
      </c>
      <c r="K103" s="117">
        <f t="shared" si="25"/>
        <v>128.96825396825398</v>
      </c>
      <c r="L103" s="117">
        <f t="shared" si="26"/>
        <v>1.2896825396825398</v>
      </c>
      <c r="M103" s="117">
        <f t="shared" si="27"/>
        <v>1.2896825396825398E-6</v>
      </c>
      <c r="N103" s="117">
        <f t="shared" si="28"/>
        <v>1.2896825396825398E-2</v>
      </c>
      <c r="O103" s="117">
        <f t="shared" si="29"/>
        <v>12896.825396825398</v>
      </c>
      <c r="P103" s="117">
        <f t="shared" si="30"/>
        <v>0.13882027323137541</v>
      </c>
      <c r="Q103" s="35">
        <f t="shared" si="31"/>
        <v>19.990119345318057</v>
      </c>
      <c r="R103" s="310">
        <v>1.28968E-4</v>
      </c>
      <c r="S103" s="739">
        <v>3.1868749593979698E-6</v>
      </c>
      <c r="T103" s="117">
        <v>128.96799999999999</v>
      </c>
      <c r="U103" s="117">
        <v>1.2896799999999999</v>
      </c>
      <c r="V103" s="739">
        <v>1.28968253968254E-6</v>
      </c>
      <c r="W103" s="117">
        <v>1.28968E-2</v>
      </c>
      <c r="X103" s="117">
        <v>12896.8</v>
      </c>
      <c r="Y103" s="117">
        <v>0.13882</v>
      </c>
      <c r="Z103" s="35">
        <v>19.990100000000002</v>
      </c>
      <c r="AA103" s="155">
        <f t="shared" si="32"/>
        <v>1.9692307693151512E-6</v>
      </c>
      <c r="AB103" s="156">
        <f t="shared" si="33"/>
        <v>-1.1960457536634609E-15</v>
      </c>
      <c r="AC103" s="156">
        <f t="shared" si="34"/>
        <v>1.9692307693696001E-6</v>
      </c>
      <c r="AD103" s="156">
        <f t="shared" si="35"/>
        <v>1.9692307693420529E-6</v>
      </c>
      <c r="AE103" s="156">
        <f t="shared" si="36"/>
        <v>-1.6419407900621822E-16</v>
      </c>
      <c r="AF103" s="156">
        <f t="shared" si="37"/>
        <v>1.9692307693151512E-6</v>
      </c>
      <c r="AG103" s="156">
        <f t="shared" si="38"/>
        <v>1.9692307693431545E-6</v>
      </c>
      <c r="AH103" s="156">
        <f t="shared" si="39"/>
        <v>1.9682382771175295E-6</v>
      </c>
      <c r="AI103" s="157">
        <f t="shared" si="40"/>
        <v>9.6774399996574431E-7</v>
      </c>
    </row>
    <row r="104" spans="3:35" ht="18" thickBot="1" x14ac:dyDescent="0.3">
      <c r="C104" s="106">
        <v>560</v>
      </c>
      <c r="D104" s="63" t="s">
        <v>38</v>
      </c>
      <c r="E104" s="39">
        <f>C104*1609.4/3600</f>
        <v>250.35111111111112</v>
      </c>
      <c r="F104" s="312">
        <v>960</v>
      </c>
      <c r="G104" s="63" t="s">
        <v>102</v>
      </c>
      <c r="H104" s="39">
        <f>F104/60</f>
        <v>16</v>
      </c>
      <c r="I104" s="312">
        <f t="shared" si="23"/>
        <v>6.3910241616219E-4</v>
      </c>
      <c r="J104" s="118">
        <f t="shared" si="24"/>
        <v>1.57925646342345E-5</v>
      </c>
      <c r="K104" s="118">
        <f t="shared" si="25"/>
        <v>639.10241616219002</v>
      </c>
      <c r="L104" s="118">
        <f t="shared" si="26"/>
        <v>6.3910241616218997</v>
      </c>
      <c r="M104" s="118">
        <f t="shared" si="27"/>
        <v>6.3910241616219002E-6</v>
      </c>
      <c r="N104" s="118">
        <f t="shared" si="28"/>
        <v>6.3910241616218999E-2</v>
      </c>
      <c r="O104" s="118">
        <f t="shared" si="29"/>
        <v>63910.241616218998</v>
      </c>
      <c r="P104" s="118">
        <f t="shared" si="30"/>
        <v>0.68792411546725485</v>
      </c>
      <c r="Q104" s="40">
        <f t="shared" si="31"/>
        <v>99.061072627284702</v>
      </c>
      <c r="R104" s="312">
        <v>6.3910200000000001E-4</v>
      </c>
      <c r="S104" s="2185">
        <v>1.57925646342345E-5</v>
      </c>
      <c r="T104" s="118">
        <v>639.10199999999998</v>
      </c>
      <c r="U104" s="118">
        <v>6.3910200000000001</v>
      </c>
      <c r="V104" s="2185">
        <v>6.3910241616219002E-6</v>
      </c>
      <c r="W104" s="118">
        <v>6.39102E-2</v>
      </c>
      <c r="X104" s="118">
        <v>63910.2</v>
      </c>
      <c r="Y104" s="118">
        <v>0.68792399999999998</v>
      </c>
      <c r="Z104" s="40">
        <v>99.061099999999996</v>
      </c>
      <c r="AA104" s="176">
        <f t="shared" si="32"/>
        <v>6.511666666736668E-7</v>
      </c>
      <c r="AB104" s="177">
        <f t="shared" si="33"/>
        <v>0</v>
      </c>
      <c r="AC104" s="177">
        <f t="shared" si="34"/>
        <v>6.5116666675807109E-7</v>
      </c>
      <c r="AD104" s="177">
        <f t="shared" si="35"/>
        <v>6.5116666660798045E-7</v>
      </c>
      <c r="AE104" s="177">
        <f t="shared" si="36"/>
        <v>0</v>
      </c>
      <c r="AF104" s="177">
        <f t="shared" si="37"/>
        <v>6.5116666666009532E-7</v>
      </c>
      <c r="AG104" s="177">
        <f t="shared" si="38"/>
        <v>6.5116666670114783E-7</v>
      </c>
      <c r="AH104" s="177">
        <f t="shared" si="39"/>
        <v>1.6784882557901575E-7</v>
      </c>
      <c r="AI104" s="178">
        <f t="shared" si="40"/>
        <v>-2.7632161219770014E-7</v>
      </c>
    </row>
    <row r="105" spans="3:35" ht="18" thickTop="1" x14ac:dyDescent="0.25">
      <c r="C105" s="2115">
        <v>1122</v>
      </c>
      <c r="D105" s="383" t="s">
        <v>36</v>
      </c>
      <c r="E105" s="384">
        <f>C105*1000/3600</f>
        <v>311.66666666666669</v>
      </c>
      <c r="F105" s="420">
        <v>450</v>
      </c>
      <c r="G105" s="826" t="s">
        <v>103</v>
      </c>
      <c r="H105" s="384">
        <f>F105</f>
        <v>450</v>
      </c>
      <c r="I105" s="420">
        <f t="shared" si="23"/>
        <v>1.4438502673796792E-2</v>
      </c>
      <c r="J105" s="421">
        <f t="shared" si="24"/>
        <v>3.5678317110232426E-4</v>
      </c>
      <c r="K105" s="421">
        <f t="shared" si="25"/>
        <v>14438.502673796791</v>
      </c>
      <c r="L105" s="421">
        <f t="shared" si="26"/>
        <v>144.38502673796791</v>
      </c>
      <c r="M105" s="421">
        <f t="shared" si="27"/>
        <v>1.4438502673796793E-4</v>
      </c>
      <c r="N105" s="421">
        <f t="shared" si="28"/>
        <v>1.4438502673796791</v>
      </c>
      <c r="O105" s="421">
        <f t="shared" si="29"/>
        <v>1443850.2673796793</v>
      </c>
      <c r="P105" s="421">
        <f t="shared" si="30"/>
        <v>15.541474933217247</v>
      </c>
      <c r="Q105" s="390">
        <f t="shared" si="31"/>
        <v>2237.9723903832833</v>
      </c>
      <c r="R105" s="420">
        <v>1.44385E-2</v>
      </c>
      <c r="S105" s="421">
        <v>3.56783E-4</v>
      </c>
      <c r="T105" s="421">
        <v>14438.5</v>
      </c>
      <c r="U105" s="421">
        <v>144.38499999999999</v>
      </c>
      <c r="V105" s="421">
        <v>1.4438499999999999E-4</v>
      </c>
      <c r="W105" s="421">
        <v>1.4438500000000001</v>
      </c>
      <c r="X105" s="421">
        <v>1443850</v>
      </c>
      <c r="Y105" s="421">
        <v>15.541499999999999</v>
      </c>
      <c r="Z105" s="390">
        <v>2237.9699999999998</v>
      </c>
      <c r="AA105" s="210">
        <f t="shared" si="32"/>
        <v>1.851851851969352E-7</v>
      </c>
      <c r="AB105" s="211">
        <f t="shared" si="33"/>
        <v>4.7956949238701953E-7</v>
      </c>
      <c r="AC105" s="211">
        <f t="shared" si="34"/>
        <v>1.8518518515352129E-7</v>
      </c>
      <c r="AD105" s="211">
        <f t="shared" si="35"/>
        <v>1.8518518518501678E-7</v>
      </c>
      <c r="AE105" s="211">
        <f t="shared" si="36"/>
        <v>1.8518518530957176E-7</v>
      </c>
      <c r="AF105" s="211">
        <f t="shared" si="37"/>
        <v>1.8518518512965365E-7</v>
      </c>
      <c r="AG105" s="211">
        <f t="shared" si="38"/>
        <v>1.8518518525934604E-7</v>
      </c>
      <c r="AH105" s="211">
        <f t="shared" si="39"/>
        <v>-1.6128959999174227E-6</v>
      </c>
      <c r="AI105" s="212">
        <f t="shared" si="40"/>
        <v>1.0681022222287027E-6</v>
      </c>
    </row>
    <row r="106" spans="3:35" ht="17.25" x14ac:dyDescent="0.25">
      <c r="C106" s="213">
        <v>630</v>
      </c>
      <c r="D106" s="214" t="s">
        <v>37</v>
      </c>
      <c r="E106" s="215">
        <f>C106/60</f>
        <v>10.5</v>
      </c>
      <c r="F106" s="412">
        <v>185</v>
      </c>
      <c r="G106" s="214" t="s">
        <v>103</v>
      </c>
      <c r="H106" s="215">
        <f>F106</f>
        <v>185</v>
      </c>
      <c r="I106" s="412">
        <f t="shared" si="23"/>
        <v>0.1761904761904762</v>
      </c>
      <c r="J106" s="274">
        <f t="shared" si="24"/>
        <v>4.3537614829929133E-3</v>
      </c>
      <c r="K106" s="274">
        <f t="shared" si="25"/>
        <v>176190.47619047621</v>
      </c>
      <c r="L106" s="274">
        <f t="shared" si="26"/>
        <v>1761.9047619047619</v>
      </c>
      <c r="M106" s="274">
        <f t="shared" si="27"/>
        <v>1.7619047619047621E-3</v>
      </c>
      <c r="N106" s="274">
        <f t="shared" si="28"/>
        <v>17.61904761904762</v>
      </c>
      <c r="O106" s="274">
        <f t="shared" si="29"/>
        <v>17619047.619047619</v>
      </c>
      <c r="P106" s="274">
        <f t="shared" si="30"/>
        <v>189.64985019917131</v>
      </c>
      <c r="Q106" s="216">
        <f t="shared" si="31"/>
        <v>27309.57842868067</v>
      </c>
      <c r="R106" s="412">
        <v>0.17619000000000001</v>
      </c>
      <c r="S106" s="274">
        <v>4.3537599999999999E-3</v>
      </c>
      <c r="T106" s="274">
        <v>176190</v>
      </c>
      <c r="U106" s="274">
        <v>1761.9</v>
      </c>
      <c r="V106" s="274">
        <v>1.7619000000000001E-3</v>
      </c>
      <c r="W106" s="274">
        <v>17.619</v>
      </c>
      <c r="X106" s="274">
        <v>17619048</v>
      </c>
      <c r="Y106" s="274">
        <v>189.65</v>
      </c>
      <c r="Z106" s="216">
        <v>27309.599999999999</v>
      </c>
      <c r="AA106" s="221">
        <f t="shared" si="32"/>
        <v>2.7027027026979042E-6</v>
      </c>
      <c r="AB106" s="222">
        <f t="shared" si="33"/>
        <v>3.4062337111476766E-7</v>
      </c>
      <c r="AC106" s="222">
        <f t="shared" si="34"/>
        <v>2.7027027028285569E-6</v>
      </c>
      <c r="AD106" s="222">
        <f t="shared" si="35"/>
        <v>2.7027027026633732E-6</v>
      </c>
      <c r="AE106" s="222">
        <f t="shared" si="36"/>
        <v>2.7027027027569783E-6</v>
      </c>
      <c r="AF106" s="222">
        <f t="shared" si="37"/>
        <v>2.7027027027924229E-6</v>
      </c>
      <c r="AG106" s="222">
        <f t="shared" si="38"/>
        <v>-2.1621621601484917E-8</v>
      </c>
      <c r="AH106" s="222">
        <f t="shared" si="39"/>
        <v>-7.8988108104015098E-7</v>
      </c>
      <c r="AI106" s="223">
        <f t="shared" si="40"/>
        <v>-7.8988108090693832E-7</v>
      </c>
    </row>
    <row r="107" spans="3:35" ht="17.25" x14ac:dyDescent="0.25">
      <c r="C107" s="213">
        <v>42</v>
      </c>
      <c r="D107" s="214" t="s">
        <v>31</v>
      </c>
      <c r="E107" s="216">
        <f>C107</f>
        <v>42</v>
      </c>
      <c r="F107" s="412">
        <v>1630</v>
      </c>
      <c r="G107" s="214" t="s">
        <v>103</v>
      </c>
      <c r="H107" s="215">
        <f>F107</f>
        <v>1630</v>
      </c>
      <c r="I107" s="412">
        <f t="shared" si="23"/>
        <v>0.3880952380952381</v>
      </c>
      <c r="J107" s="274">
        <f t="shared" si="24"/>
        <v>9.590042185511417E-3</v>
      </c>
      <c r="K107" s="274">
        <f t="shared" si="25"/>
        <v>388095.23809523811</v>
      </c>
      <c r="L107" s="274">
        <f t="shared" si="26"/>
        <v>3880.9523809523812</v>
      </c>
      <c r="M107" s="274">
        <f t="shared" si="27"/>
        <v>3.8809523809523812E-3</v>
      </c>
      <c r="N107" s="274">
        <f t="shared" si="28"/>
        <v>38.80952380952381</v>
      </c>
      <c r="O107" s="274">
        <f t="shared" si="29"/>
        <v>38809523.809523813</v>
      </c>
      <c r="P107" s="274">
        <f t="shared" si="30"/>
        <v>417.74223760087739</v>
      </c>
      <c r="Q107" s="216">
        <f t="shared" si="31"/>
        <v>60154.882214526333</v>
      </c>
      <c r="R107" s="412">
        <v>0.38809500000000002</v>
      </c>
      <c r="S107" s="274">
        <v>9.5900399999999993E-3</v>
      </c>
      <c r="T107" s="274">
        <v>388095</v>
      </c>
      <c r="U107" s="274">
        <v>3880.95</v>
      </c>
      <c r="V107" s="274">
        <v>3.8809500000000002E-3</v>
      </c>
      <c r="W107" s="274">
        <v>38.8095</v>
      </c>
      <c r="X107" s="274">
        <v>38809524</v>
      </c>
      <c r="Y107" s="274">
        <v>417.74200000000002</v>
      </c>
      <c r="Z107" s="216">
        <v>60154.9</v>
      </c>
      <c r="AA107" s="221">
        <f t="shared" si="32"/>
        <v>6.1349693247848946E-7</v>
      </c>
      <c r="AB107" s="222">
        <f t="shared" si="33"/>
        <v>2.2789382730513192E-7</v>
      </c>
      <c r="AC107" s="222">
        <f t="shared" si="34"/>
        <v>6.1349693254390561E-7</v>
      </c>
      <c r="AD107" s="222">
        <f t="shared" si="35"/>
        <v>6.1349693262358398E-7</v>
      </c>
      <c r="AE107" s="222">
        <f t="shared" si="36"/>
        <v>6.1349693252765761E-7</v>
      </c>
      <c r="AF107" s="222">
        <f t="shared" si="37"/>
        <v>6.1349693253570336E-7</v>
      </c>
      <c r="AG107" s="222">
        <f t="shared" si="38"/>
        <v>-4.9079753595627154E-9</v>
      </c>
      <c r="AH107" s="222">
        <f t="shared" si="39"/>
        <v>5.6877388969336127E-7</v>
      </c>
      <c r="AI107" s="223">
        <f t="shared" si="40"/>
        <v>-2.9566134973143176E-7</v>
      </c>
    </row>
    <row r="108" spans="3:35" ht="18" thickBot="1" x14ac:dyDescent="0.3">
      <c r="C108" s="2104">
        <v>1450</v>
      </c>
      <c r="D108" s="398" t="s">
        <v>38</v>
      </c>
      <c r="E108" s="399">
        <f>C108*1609.4/3600</f>
        <v>648.23055555555561</v>
      </c>
      <c r="F108" s="397">
        <v>93</v>
      </c>
      <c r="G108" s="398" t="s">
        <v>103</v>
      </c>
      <c r="H108" s="399">
        <f>F108</f>
        <v>93</v>
      </c>
      <c r="I108" s="397">
        <f t="shared" si="23"/>
        <v>1.4346747342123642E-3</v>
      </c>
      <c r="J108" s="428">
        <f t="shared" si="24"/>
        <v>3.5451584747885031E-5</v>
      </c>
      <c r="K108" s="428">
        <f t="shared" si="25"/>
        <v>1434.6747342123642</v>
      </c>
      <c r="L108" s="428">
        <f t="shared" si="26"/>
        <v>14.346747342123642</v>
      </c>
      <c r="M108" s="428">
        <f t="shared" si="27"/>
        <v>1.4346747342123642E-5</v>
      </c>
      <c r="N108" s="428">
        <f t="shared" si="28"/>
        <v>0.14346747342123642</v>
      </c>
      <c r="O108" s="428">
        <f t="shared" si="29"/>
        <v>143467.47342123641</v>
      </c>
      <c r="P108" s="428">
        <f t="shared" si="30"/>
        <v>1.5442710316178718</v>
      </c>
      <c r="Q108" s="410">
        <f t="shared" si="31"/>
        <v>222.37502855297356</v>
      </c>
      <c r="R108" s="397">
        <v>1.4346700000000001E-3</v>
      </c>
      <c r="S108" s="744">
        <v>3.5451584747884997E-5</v>
      </c>
      <c r="T108" s="428">
        <v>1434.67</v>
      </c>
      <c r="U108" s="428">
        <v>14.3467</v>
      </c>
      <c r="V108" s="744">
        <v>1.43467473421236E-5</v>
      </c>
      <c r="W108" s="428">
        <v>0.14346700000000001</v>
      </c>
      <c r="X108" s="428">
        <v>143467</v>
      </c>
      <c r="Y108" s="428">
        <v>1.54427</v>
      </c>
      <c r="Z108" s="410">
        <v>222.375</v>
      </c>
      <c r="AA108" s="234">
        <f t="shared" si="32"/>
        <v>3.299850656912471E-6</v>
      </c>
      <c r="AB108" s="235">
        <f t="shared" si="33"/>
        <v>9.5570672315835758E-16</v>
      </c>
      <c r="AC108" s="235">
        <f t="shared" si="34"/>
        <v>3.2998506569188941E-6</v>
      </c>
      <c r="AD108" s="235">
        <f t="shared" si="35"/>
        <v>3.2998506569337523E-6</v>
      </c>
      <c r="AE108" s="235">
        <f t="shared" si="36"/>
        <v>2.9520034299597567E-15</v>
      </c>
      <c r="AF108" s="235">
        <f t="shared" si="37"/>
        <v>3.2998506568641058E-6</v>
      </c>
      <c r="AG108" s="235">
        <f t="shared" si="38"/>
        <v>3.299850656899876E-6</v>
      </c>
      <c r="AH108" s="235">
        <f t="shared" si="39"/>
        <v>6.6802902513373553E-7</v>
      </c>
      <c r="AI108" s="236">
        <f t="shared" si="40"/>
        <v>1.2840008946343636E-7</v>
      </c>
    </row>
    <row r="109" spans="3:35" ht="15.75" thickTop="1" x14ac:dyDescent="0.25"/>
  </sheetData>
  <mergeCells count="31">
    <mergeCell ref="AA90:AI90"/>
    <mergeCell ref="AA91:AI91"/>
    <mergeCell ref="C91:E91"/>
    <mergeCell ref="F91:H91"/>
    <mergeCell ref="I91:Q91"/>
    <mergeCell ref="I90:Q90"/>
    <mergeCell ref="R90:Z90"/>
    <mergeCell ref="R91:Z91"/>
    <mergeCell ref="Q49:T49"/>
    <mergeCell ref="I50:L50"/>
    <mergeCell ref="M50:P50"/>
    <mergeCell ref="Q50:T50"/>
    <mergeCell ref="C90:H90"/>
    <mergeCell ref="C49:H49"/>
    <mergeCell ref="C50:E50"/>
    <mergeCell ref="F50:H50"/>
    <mergeCell ref="I49:L49"/>
    <mergeCell ref="M49:P49"/>
    <mergeCell ref="M8:P8"/>
    <mergeCell ref="Q8:T8"/>
    <mergeCell ref="C9:E9"/>
    <mergeCell ref="F9:H9"/>
    <mergeCell ref="I9:L9"/>
    <mergeCell ref="M9:P9"/>
    <mergeCell ref="Q9:T9"/>
    <mergeCell ref="C2:J2"/>
    <mergeCell ref="C4:E4"/>
    <mergeCell ref="H4:I4"/>
    <mergeCell ref="C8:H8"/>
    <mergeCell ref="I8:L8"/>
    <mergeCell ref="E6:G6"/>
  </mergeCells>
  <conditionalFormatting sqref="Q11:T46 Q52:T87 AA93:AI108">
    <cfRule type="cellIs" dxfId="8" priority="1" operator="notBetween">
      <formula>-0.001</formula>
      <formula>0.001</formula>
    </cfRule>
  </conditionalFormatting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AL90"/>
  <sheetViews>
    <sheetView zoomScaleNormal="100" workbookViewId="0">
      <selection activeCell="B2" sqref="B2"/>
    </sheetView>
  </sheetViews>
  <sheetFormatPr defaultColWidth="18.7109375" defaultRowHeight="15" x14ac:dyDescent="0.25"/>
  <cols>
    <col min="1" max="2" width="5.7109375" style="9" customWidth="1"/>
    <col min="3" max="3" width="12.7109375" style="9" customWidth="1"/>
    <col min="4" max="4" width="10.7109375" style="9" customWidth="1"/>
    <col min="5" max="5" width="18.7109375" style="9"/>
    <col min="6" max="6" width="12.7109375" style="9" customWidth="1"/>
    <col min="7" max="7" width="10.7109375" style="9" customWidth="1"/>
    <col min="8" max="15" width="18.7109375" style="9"/>
    <col min="16" max="16" width="21.85546875" style="9" bestFit="1" customWidth="1"/>
    <col min="17" max="23" width="18.7109375" style="9"/>
    <col min="24" max="24" width="21.85546875" style="9" bestFit="1" customWidth="1"/>
    <col min="25" max="16384" width="18.7109375" style="9"/>
  </cols>
  <sheetData>
    <row r="2" spans="3:38" ht="21" x14ac:dyDescent="0.35">
      <c r="C2" s="2490" t="s">
        <v>26</v>
      </c>
      <c r="D2" s="2491"/>
      <c r="E2" s="2491"/>
      <c r="F2" s="2491"/>
      <c r="G2" s="2491"/>
      <c r="H2" s="2491"/>
      <c r="I2" s="2491"/>
      <c r="J2" s="2491"/>
    </row>
    <row r="3" spans="3:38" x14ac:dyDescent="0.25"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</row>
    <row r="4" spans="3:38" x14ac:dyDescent="0.25">
      <c r="C4" s="2501" t="s">
        <v>22</v>
      </c>
      <c r="D4" s="2502"/>
      <c r="E4" s="2503"/>
      <c r="F4" s="20"/>
      <c r="G4" s="20"/>
      <c r="H4" s="2501" t="s">
        <v>23</v>
      </c>
      <c r="I4" s="2503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</row>
    <row r="5" spans="3:38" ht="15.75" thickBot="1" x14ac:dyDescent="0.3"/>
    <row r="6" spans="3:38" ht="19.5" thickBot="1" x14ac:dyDescent="0.35">
      <c r="E6" s="2497" t="s">
        <v>128</v>
      </c>
      <c r="F6" s="2498"/>
      <c r="G6" s="2499"/>
    </row>
    <row r="7" spans="3:38" ht="15.75" thickBot="1" x14ac:dyDescent="0.3"/>
    <row r="8" spans="3:38" ht="15.75" thickTop="1" x14ac:dyDescent="0.25">
      <c r="C8" s="2488" t="s">
        <v>0</v>
      </c>
      <c r="D8" s="2489"/>
      <c r="E8" s="2489"/>
      <c r="F8" s="2489"/>
      <c r="G8" s="2489"/>
      <c r="H8" s="2489"/>
      <c r="I8" s="2483" t="s">
        <v>158</v>
      </c>
      <c r="J8" s="2484"/>
      <c r="K8" s="2484"/>
      <c r="L8" s="2485"/>
      <c r="M8" s="2489" t="s">
        <v>17</v>
      </c>
      <c r="N8" s="2489"/>
      <c r="O8" s="2489"/>
      <c r="P8" s="2489"/>
      <c r="Q8" s="2483" t="s">
        <v>8</v>
      </c>
      <c r="R8" s="2484"/>
      <c r="S8" s="2484"/>
      <c r="T8" s="2485"/>
    </row>
    <row r="9" spans="3:38" ht="15.75" thickBot="1" x14ac:dyDescent="0.3">
      <c r="C9" s="2486" t="s">
        <v>148</v>
      </c>
      <c r="D9" s="2487"/>
      <c r="E9" s="2487"/>
      <c r="F9" s="2486" t="s">
        <v>2</v>
      </c>
      <c r="G9" s="2487"/>
      <c r="H9" s="2487"/>
      <c r="I9" s="2480" t="s">
        <v>147</v>
      </c>
      <c r="J9" s="2481"/>
      <c r="K9" s="2481"/>
      <c r="L9" s="2482"/>
      <c r="M9" s="2486" t="s">
        <v>147</v>
      </c>
      <c r="N9" s="2487"/>
      <c r="O9" s="2487"/>
      <c r="P9" s="2496"/>
      <c r="Q9" s="2480" t="s">
        <v>147</v>
      </c>
      <c r="R9" s="2481"/>
      <c r="S9" s="2481"/>
      <c r="T9" s="2482"/>
    </row>
    <row r="10" spans="3:38" ht="15.75" thickBot="1" x14ac:dyDescent="0.3">
      <c r="C10" s="15" t="s">
        <v>3</v>
      </c>
      <c r="D10" s="67" t="s">
        <v>4</v>
      </c>
      <c r="E10" s="501" t="s">
        <v>42</v>
      </c>
      <c r="F10" s="14" t="s">
        <v>3</v>
      </c>
      <c r="G10" s="65" t="s">
        <v>4</v>
      </c>
      <c r="H10" s="50" t="s">
        <v>15</v>
      </c>
      <c r="I10" s="13" t="s">
        <v>36</v>
      </c>
      <c r="J10" s="79" t="s">
        <v>37</v>
      </c>
      <c r="K10" s="79" t="s">
        <v>31</v>
      </c>
      <c r="L10" s="54" t="s">
        <v>38</v>
      </c>
      <c r="M10" s="50" t="s">
        <v>36</v>
      </c>
      <c r="N10" s="80" t="s">
        <v>37</v>
      </c>
      <c r="O10" s="80" t="s">
        <v>31</v>
      </c>
      <c r="P10" s="50" t="s">
        <v>38</v>
      </c>
      <c r="Q10" s="13" t="s">
        <v>36</v>
      </c>
      <c r="R10" s="79" t="s">
        <v>37</v>
      </c>
      <c r="S10" s="79" t="s">
        <v>31</v>
      </c>
      <c r="T10" s="54" t="s">
        <v>38</v>
      </c>
    </row>
    <row r="11" spans="3:38" ht="15.75" thickTop="1" x14ac:dyDescent="0.25">
      <c r="C11" s="1155">
        <v>155</v>
      </c>
      <c r="D11" s="1156" t="s">
        <v>39</v>
      </c>
      <c r="E11" s="1157">
        <f>C11/100</f>
        <v>1.55</v>
      </c>
      <c r="F11" s="968">
        <v>32</v>
      </c>
      <c r="G11" s="964" t="s">
        <v>13</v>
      </c>
      <c r="H11" s="965">
        <f>F11*3600</f>
        <v>115200</v>
      </c>
      <c r="I11" s="1152">
        <f>K11*3600/1000</f>
        <v>4.8437499999999998E-5</v>
      </c>
      <c r="J11" s="1158">
        <f>K11*60</f>
        <v>8.0729166666666666E-4</v>
      </c>
      <c r="K11" s="1158">
        <f>E11/H11</f>
        <v>1.3454861111111111E-5</v>
      </c>
      <c r="L11" s="1154">
        <f>K11*3600/1609.4</f>
        <v>3.0096619858332297E-5</v>
      </c>
      <c r="M11" s="1153">
        <v>4.8437499999999998E-5</v>
      </c>
      <c r="N11" s="1158">
        <v>8.0729200000000004E-4</v>
      </c>
      <c r="O11" s="1158">
        <v>1.3454861111111099E-5</v>
      </c>
      <c r="P11" s="1153">
        <v>3.00966198583323E-5</v>
      </c>
      <c r="Q11" s="885">
        <f xml:space="preserve"> (I11-M11)/I11</f>
        <v>0</v>
      </c>
      <c r="R11" s="886">
        <f t="shared" ref="R11:T26" si="0" xml:space="preserve"> (J11-N11)/J11</f>
        <v>-4.1290322585771996E-7</v>
      </c>
      <c r="S11" s="886">
        <f t="shared" si="0"/>
        <v>8.8135144343982941E-16</v>
      </c>
      <c r="T11" s="1112">
        <f t="shared" si="0"/>
        <v>-1.1257515976762392E-16</v>
      </c>
    </row>
    <row r="12" spans="3:38" x14ac:dyDescent="0.25">
      <c r="C12" s="71">
        <v>650</v>
      </c>
      <c r="D12" s="59" t="s">
        <v>40</v>
      </c>
      <c r="E12" s="32">
        <f>C12*0.3048</f>
        <v>198.12</v>
      </c>
      <c r="F12" s="1059">
        <v>198</v>
      </c>
      <c r="G12" s="59" t="s">
        <v>13</v>
      </c>
      <c r="H12" s="32">
        <f t="shared" ref="H12:H18" si="1">F12*3600</f>
        <v>712800</v>
      </c>
      <c r="I12" s="1159">
        <f t="shared" ref="I12:I34" si="2">K12*3600/1000</f>
        <v>1.0006060606060608E-3</v>
      </c>
      <c r="J12" s="925">
        <f t="shared" ref="J12:J34" si="3">K12*60</f>
        <v>1.6676767676767679E-2</v>
      </c>
      <c r="K12" s="925">
        <f t="shared" ref="K12:K34" si="4">E12/H12</f>
        <v>2.7794612794612797E-4</v>
      </c>
      <c r="L12" s="941">
        <f t="shared" ref="L12:L34" si="5">K12*3600/1609.4</f>
        <v>6.2172614676653454E-4</v>
      </c>
      <c r="M12" s="32">
        <v>1.0006100000000001E-3</v>
      </c>
      <c r="N12" s="1060">
        <v>1.6676799999999999E-2</v>
      </c>
      <c r="O12" s="1060">
        <v>2.77946E-4</v>
      </c>
      <c r="P12" s="32">
        <v>6.2172599999999996E-4</v>
      </c>
      <c r="Q12" s="897">
        <f t="shared" ref="Q12:T34" si="6" xml:space="preserve"> (I12-M12)/I12</f>
        <v>-3.9370078739332641E-6</v>
      </c>
      <c r="R12" s="898">
        <f t="shared" si="0"/>
        <v>-1.9382192608532679E-6</v>
      </c>
      <c r="S12" s="898">
        <f t="shared" si="0"/>
        <v>4.6032707460868165E-7</v>
      </c>
      <c r="T12" s="1113">
        <f t="shared" si="0"/>
        <v>2.3606299227441222E-7</v>
      </c>
    </row>
    <row r="13" spans="3:38" x14ac:dyDescent="0.25">
      <c r="C13" s="71">
        <v>1540</v>
      </c>
      <c r="D13" s="59" t="s">
        <v>41</v>
      </c>
      <c r="E13" s="32">
        <f>C13*2.54/100</f>
        <v>39.116</v>
      </c>
      <c r="F13" s="1059">
        <v>9498</v>
      </c>
      <c r="G13" s="59" t="s">
        <v>13</v>
      </c>
      <c r="H13" s="32">
        <f t="shared" si="1"/>
        <v>34192800</v>
      </c>
      <c r="I13" s="1159">
        <f t="shared" si="2"/>
        <v>4.1183407033059584E-6</v>
      </c>
      <c r="J13" s="925">
        <f t="shared" si="3"/>
        <v>6.8639011721765978E-5</v>
      </c>
      <c r="K13" s="925">
        <f t="shared" si="4"/>
        <v>1.1439835286960997E-6</v>
      </c>
      <c r="L13" s="941">
        <f t="shared" si="5"/>
        <v>2.5589292303379883E-6</v>
      </c>
      <c r="M13" s="1231">
        <v>4.1183407033059601E-6</v>
      </c>
      <c r="N13" s="1110">
        <v>6.8639011721766005E-5</v>
      </c>
      <c r="O13" s="1110">
        <v>1.1439835286961001E-6</v>
      </c>
      <c r="P13" s="1231">
        <v>2.55892923033799E-6</v>
      </c>
      <c r="Q13" s="897">
        <f t="shared" si="6"/>
        <v>-4.1134670891815859E-16</v>
      </c>
      <c r="R13" s="898">
        <f t="shared" si="0"/>
        <v>-3.9489284056143223E-16</v>
      </c>
      <c r="S13" s="898">
        <f t="shared" si="0"/>
        <v>-3.7021203802634272E-16</v>
      </c>
      <c r="T13" s="1113">
        <f t="shared" si="0"/>
        <v>-6.6202139333288447E-16</v>
      </c>
    </row>
    <row r="14" spans="3:38" x14ac:dyDescent="0.25">
      <c r="C14" s="71">
        <v>6</v>
      </c>
      <c r="D14" s="59" t="s">
        <v>42</v>
      </c>
      <c r="E14" s="32">
        <f>C14</f>
        <v>6</v>
      </c>
      <c r="F14" s="1059">
        <v>984</v>
      </c>
      <c r="G14" s="59" t="s">
        <v>13</v>
      </c>
      <c r="H14" s="32">
        <f t="shared" si="1"/>
        <v>3542400</v>
      </c>
      <c r="I14" s="1159">
        <f t="shared" si="2"/>
        <v>6.0975609756097564E-6</v>
      </c>
      <c r="J14" s="925">
        <f t="shared" si="3"/>
        <v>1.016260162601626E-4</v>
      </c>
      <c r="K14" s="925">
        <f t="shared" si="4"/>
        <v>1.6937669376693767E-6</v>
      </c>
      <c r="L14" s="941">
        <f t="shared" si="5"/>
        <v>3.7887168979804623E-6</v>
      </c>
      <c r="M14" s="1231">
        <v>6.0975609756097598E-6</v>
      </c>
      <c r="N14" s="1060">
        <v>1.0162600000000001E-4</v>
      </c>
      <c r="O14" s="1110">
        <v>1.6937669376693801E-6</v>
      </c>
      <c r="P14" s="1231">
        <v>3.7887168979804601E-6</v>
      </c>
      <c r="Q14" s="897">
        <f t="shared" si="6"/>
        <v>-5.5565361339882102E-16</v>
      </c>
      <c r="R14" s="898">
        <f t="shared" si="0"/>
        <v>1.5999999994180392E-7</v>
      </c>
      <c r="S14" s="898">
        <f t="shared" si="0"/>
        <v>-2.0003530082357557E-15</v>
      </c>
      <c r="T14" s="1113">
        <f t="shared" si="0"/>
        <v>5.589180783775391E-16</v>
      </c>
    </row>
    <row r="15" spans="3:38" x14ac:dyDescent="0.25">
      <c r="C15" s="71">
        <v>82</v>
      </c>
      <c r="D15" s="59" t="s">
        <v>46</v>
      </c>
      <c r="E15" s="32">
        <f>C15*63360*2.54/100</f>
        <v>131966.20800000001</v>
      </c>
      <c r="F15" s="1059">
        <v>921</v>
      </c>
      <c r="G15" s="59" t="s">
        <v>13</v>
      </c>
      <c r="H15" s="32">
        <f t="shared" si="1"/>
        <v>3315600</v>
      </c>
      <c r="I15" s="1159">
        <f t="shared" si="2"/>
        <v>0.14328578501628667</v>
      </c>
      <c r="J15" s="925">
        <f t="shared" si="3"/>
        <v>2.3880964169381111</v>
      </c>
      <c r="K15" s="925">
        <f t="shared" si="4"/>
        <v>3.9801606948968518E-2</v>
      </c>
      <c r="L15" s="941">
        <f t="shared" si="5"/>
        <v>8.9030561088782559E-2</v>
      </c>
      <c r="M15" s="32">
        <v>0.143286</v>
      </c>
      <c r="N15" s="1060">
        <v>2.3881000000000001</v>
      </c>
      <c r="O15" s="1060">
        <v>3.9801599999999999E-2</v>
      </c>
      <c r="P15" s="32">
        <v>8.9030600000000001E-2</v>
      </c>
      <c r="Q15" s="897">
        <f t="shared" si="6"/>
        <v>-1.5003840981640965E-6</v>
      </c>
      <c r="R15" s="898">
        <f t="shared" si="0"/>
        <v>-1.5003840982105863E-6</v>
      </c>
      <c r="S15" s="898">
        <f t="shared" si="0"/>
        <v>1.7459014977888643E-7</v>
      </c>
      <c r="T15" s="1113">
        <f t="shared" si="0"/>
        <v>-4.3705461323321847E-7</v>
      </c>
    </row>
    <row r="16" spans="3:38" x14ac:dyDescent="0.25">
      <c r="C16" s="71">
        <v>6633</v>
      </c>
      <c r="D16" s="59" t="s">
        <v>43</v>
      </c>
      <c r="E16" s="32">
        <f>C16/1000</f>
        <v>6.633</v>
      </c>
      <c r="F16" s="1059">
        <v>19</v>
      </c>
      <c r="G16" s="59" t="s">
        <v>13</v>
      </c>
      <c r="H16" s="32">
        <f t="shared" si="1"/>
        <v>68400</v>
      </c>
      <c r="I16" s="1159">
        <f t="shared" si="2"/>
        <v>3.4910526315789467E-4</v>
      </c>
      <c r="J16" s="925">
        <f t="shared" si="3"/>
        <v>5.8184210526315786E-3</v>
      </c>
      <c r="K16" s="925">
        <f t="shared" si="4"/>
        <v>9.6973684210526311E-5</v>
      </c>
      <c r="L16" s="941">
        <f t="shared" si="5"/>
        <v>2.1691640559083801E-4</v>
      </c>
      <c r="M16" s="32">
        <v>3.49105E-4</v>
      </c>
      <c r="N16" s="1060">
        <v>5.8184200000000004E-3</v>
      </c>
      <c r="O16" s="1110">
        <v>9.6973684210526298E-5</v>
      </c>
      <c r="P16" s="32">
        <v>2.1691599999999999E-4</v>
      </c>
      <c r="Q16" s="897">
        <f t="shared" si="6"/>
        <v>7.5380672377169977E-7</v>
      </c>
      <c r="R16" s="898">
        <f t="shared" si="0"/>
        <v>1.8091361363067209E-7</v>
      </c>
      <c r="S16" s="898">
        <f t="shared" si="0"/>
        <v>1.397546898047801E-16</v>
      </c>
      <c r="T16" s="1113">
        <f t="shared" si="0"/>
        <v>1.8698025025356095E-6</v>
      </c>
    </row>
    <row r="17" spans="3:20" x14ac:dyDescent="0.25">
      <c r="C17" s="71">
        <v>840</v>
      </c>
      <c r="D17" s="59" t="s">
        <v>44</v>
      </c>
      <c r="E17" s="32">
        <f>C17*0.9144</f>
        <v>768.096</v>
      </c>
      <c r="F17" s="71">
        <v>1555</v>
      </c>
      <c r="G17" s="59" t="s">
        <v>13</v>
      </c>
      <c r="H17" s="32">
        <f t="shared" si="1"/>
        <v>5598000</v>
      </c>
      <c r="I17" s="1159">
        <f t="shared" si="2"/>
        <v>4.9395241157556267E-4</v>
      </c>
      <c r="J17" s="925">
        <f t="shared" si="3"/>
        <v>8.2325401929260449E-3</v>
      </c>
      <c r="K17" s="925">
        <f t="shared" si="4"/>
        <v>1.3720900321543408E-4</v>
      </c>
      <c r="L17" s="941">
        <f t="shared" si="5"/>
        <v>3.0691711915966367E-4</v>
      </c>
      <c r="M17" s="32">
        <v>4.9395199999999998E-4</v>
      </c>
      <c r="N17" s="1060">
        <v>8.23254E-3</v>
      </c>
      <c r="O17" s="1060">
        <v>1.3720900000000001E-4</v>
      </c>
      <c r="P17" s="32">
        <v>3.0691699999999998E-4</v>
      </c>
      <c r="Q17" s="897">
        <f t="shared" si="6"/>
        <v>8.3322917967076115E-7</v>
      </c>
      <c r="R17" s="898">
        <f t="shared" si="0"/>
        <v>2.3434570668362868E-8</v>
      </c>
      <c r="S17" s="898">
        <f t="shared" si="0"/>
        <v>2.3434570628853721E-8</v>
      </c>
      <c r="T17" s="1113">
        <f t="shared" si="0"/>
        <v>3.8824704212110063E-7</v>
      </c>
    </row>
    <row r="18" spans="3:20" ht="15.75" thickBot="1" x14ac:dyDescent="0.3">
      <c r="C18" s="952">
        <v>15005</v>
      </c>
      <c r="D18" s="953" t="s">
        <v>156</v>
      </c>
      <c r="E18" s="1065">
        <f>C18/1000000</f>
        <v>1.5004999999999999E-2</v>
      </c>
      <c r="F18" s="952">
        <v>7</v>
      </c>
      <c r="G18" s="953" t="s">
        <v>13</v>
      </c>
      <c r="H18" s="1065">
        <f t="shared" si="1"/>
        <v>25200</v>
      </c>
      <c r="I18" s="1160">
        <f t="shared" si="2"/>
        <v>2.1435714285714286E-6</v>
      </c>
      <c r="J18" s="1161">
        <f t="shared" si="3"/>
        <v>3.5726190476190474E-5</v>
      </c>
      <c r="K18" s="1161">
        <f t="shared" si="4"/>
        <v>5.9543650793650792E-7</v>
      </c>
      <c r="L18" s="1162">
        <f t="shared" si="5"/>
        <v>1.3319071881268973E-6</v>
      </c>
      <c r="M18" s="2138">
        <v>2.1435714285714298E-6</v>
      </c>
      <c r="N18" s="1119">
        <v>3.5726190476190501E-5</v>
      </c>
      <c r="O18" s="1119">
        <v>5.9543650793650803E-7</v>
      </c>
      <c r="P18" s="2138">
        <v>1.3319071881269001E-6</v>
      </c>
      <c r="Q18" s="911">
        <f t="shared" si="6"/>
        <v>-5.9272548791537174E-16</v>
      </c>
      <c r="R18" s="912">
        <f t="shared" si="0"/>
        <v>-7.5868862453167592E-16</v>
      </c>
      <c r="S18" s="912">
        <f t="shared" si="0"/>
        <v>-1.7781764637461153E-16</v>
      </c>
      <c r="T18" s="1163">
        <f t="shared" si="0"/>
        <v>-2.0668535338771652E-15</v>
      </c>
    </row>
    <row r="19" spans="3:20" ht="15.75" thickTop="1" x14ac:dyDescent="0.25">
      <c r="C19" s="1332">
        <v>499</v>
      </c>
      <c r="D19" s="1333" t="s">
        <v>39</v>
      </c>
      <c r="E19" s="1334">
        <f>C19/100</f>
        <v>4.99</v>
      </c>
      <c r="F19" s="1431">
        <v>189</v>
      </c>
      <c r="G19" s="1333" t="s">
        <v>14</v>
      </c>
      <c r="H19" s="1334">
        <f>F19*60</f>
        <v>11340</v>
      </c>
      <c r="I19" s="1530">
        <f t="shared" si="2"/>
        <v>1.5841269841269843E-3</v>
      </c>
      <c r="J19" s="1372">
        <f t="shared" si="3"/>
        <v>2.6402116402116406E-2</v>
      </c>
      <c r="K19" s="1372">
        <f t="shared" si="4"/>
        <v>4.4003527336860675E-4</v>
      </c>
      <c r="L19" s="1373">
        <f t="shared" si="5"/>
        <v>9.8429662242263205E-4</v>
      </c>
      <c r="M19" s="1334">
        <v>1.58413E-3</v>
      </c>
      <c r="N19" s="1442">
        <v>2.6402100000000001E-2</v>
      </c>
      <c r="O19" s="1442">
        <v>4.4003500000000002E-4</v>
      </c>
      <c r="P19" s="1334">
        <v>9.8429700000000008E-4</v>
      </c>
      <c r="Q19" s="1265">
        <f t="shared" si="6"/>
        <v>-1.9038076151409354E-6</v>
      </c>
      <c r="R19" s="1266">
        <f t="shared" si="0"/>
        <v>6.2124248506637068E-7</v>
      </c>
      <c r="S19" s="1266">
        <f t="shared" si="0"/>
        <v>6.2124248501709274E-7</v>
      </c>
      <c r="T19" s="1531">
        <f t="shared" si="0"/>
        <v>-3.8360120254872985E-7</v>
      </c>
    </row>
    <row r="20" spans="3:20" x14ac:dyDescent="0.25">
      <c r="C20" s="1268">
        <v>680</v>
      </c>
      <c r="D20" s="1269" t="s">
        <v>40</v>
      </c>
      <c r="E20" s="1254">
        <f>C20*0.3048</f>
        <v>207.26400000000001</v>
      </c>
      <c r="F20" s="1435">
        <v>498498</v>
      </c>
      <c r="G20" s="1269" t="s">
        <v>14</v>
      </c>
      <c r="H20" s="1254">
        <f t="shared" ref="H20:H26" si="7">F20*60</f>
        <v>29909880</v>
      </c>
      <c r="I20" s="1532">
        <f t="shared" si="2"/>
        <v>2.4946619645414824E-5</v>
      </c>
      <c r="J20" s="1323">
        <f t="shared" si="3"/>
        <v>4.157769940902471E-4</v>
      </c>
      <c r="K20" s="1323">
        <f t="shared" si="4"/>
        <v>6.9296165681707852E-6</v>
      </c>
      <c r="L20" s="1324">
        <f t="shared" si="5"/>
        <v>1.5500571421284219E-5</v>
      </c>
      <c r="M20" s="1605">
        <v>2.4946619645414801E-5</v>
      </c>
      <c r="N20" s="1446">
        <v>4.1577699999999999E-4</v>
      </c>
      <c r="O20" s="1477">
        <v>6.9296165681707903E-6</v>
      </c>
      <c r="P20" s="1605">
        <v>1.5500571421284199E-5</v>
      </c>
      <c r="Q20" s="1277">
        <f t="shared" si="6"/>
        <v>9.5070686370446063E-16</v>
      </c>
      <c r="R20" s="1278">
        <f t="shared" si="0"/>
        <v>-1.4213756337029416E-8</v>
      </c>
      <c r="S20" s="1278">
        <f t="shared" si="0"/>
        <v>-7.3340243771486954E-16</v>
      </c>
      <c r="T20" s="1495">
        <f t="shared" si="0"/>
        <v>1.3114865369536791E-15</v>
      </c>
    </row>
    <row r="21" spans="3:20" x14ac:dyDescent="0.25">
      <c r="C21" s="1268">
        <v>590</v>
      </c>
      <c r="D21" s="1269" t="s">
        <v>41</v>
      </c>
      <c r="E21" s="1254">
        <f>C21*2.54/100</f>
        <v>14.985999999999999</v>
      </c>
      <c r="F21" s="1435">
        <v>7484</v>
      </c>
      <c r="G21" s="1269" t="s">
        <v>14</v>
      </c>
      <c r="H21" s="1254">
        <f t="shared" si="7"/>
        <v>449040</v>
      </c>
      <c r="I21" s="1532">
        <f t="shared" si="2"/>
        <v>1.2014430785676109E-4</v>
      </c>
      <c r="J21" s="1323">
        <f t="shared" si="3"/>
        <v>2.002405130946018E-3</v>
      </c>
      <c r="K21" s="1323">
        <f t="shared" si="4"/>
        <v>3.3373418849100301E-5</v>
      </c>
      <c r="L21" s="1324">
        <f t="shared" si="5"/>
        <v>7.465161417718471E-5</v>
      </c>
      <c r="M21" s="1254">
        <v>1.2014399999999999E-4</v>
      </c>
      <c r="N21" s="1446">
        <v>2.00241E-3</v>
      </c>
      <c r="O21" s="1477">
        <v>3.3373418849100301E-5</v>
      </c>
      <c r="P21" s="1605">
        <v>7.4651614177184697E-5</v>
      </c>
      <c r="Q21" s="1277">
        <f t="shared" si="6"/>
        <v>2.5623915654861893E-6</v>
      </c>
      <c r="R21" s="1278">
        <f t="shared" si="0"/>
        <v>-2.4316028294195504E-6</v>
      </c>
      <c r="S21" s="1278">
        <f t="shared" si="0"/>
        <v>0</v>
      </c>
      <c r="T21" s="1495">
        <f t="shared" si="0"/>
        <v>1.8154365857249978E-16</v>
      </c>
    </row>
    <row r="22" spans="3:20" x14ac:dyDescent="0.25">
      <c r="C22" s="1268">
        <v>8001</v>
      </c>
      <c r="D22" s="1269" t="s">
        <v>42</v>
      </c>
      <c r="E22" s="1254">
        <f>C22</f>
        <v>8001</v>
      </c>
      <c r="F22" s="1435">
        <v>418</v>
      </c>
      <c r="G22" s="1269" t="s">
        <v>14</v>
      </c>
      <c r="H22" s="1254">
        <f t="shared" si="7"/>
        <v>25080</v>
      </c>
      <c r="I22" s="1532">
        <f t="shared" si="2"/>
        <v>1.1484688995215311</v>
      </c>
      <c r="J22" s="1323">
        <f t="shared" si="3"/>
        <v>19.141148325358852</v>
      </c>
      <c r="K22" s="1323">
        <f t="shared" si="4"/>
        <v>0.31901913875598087</v>
      </c>
      <c r="L22" s="1324">
        <f t="shared" si="5"/>
        <v>0.71360065833324904</v>
      </c>
      <c r="M22" s="1254">
        <v>1.1484700000000001</v>
      </c>
      <c r="N22" s="1446">
        <v>19.141100000000002</v>
      </c>
      <c r="O22" s="1446">
        <v>0.319019</v>
      </c>
      <c r="P22" s="1254">
        <v>0.71360100000000004</v>
      </c>
      <c r="Q22" s="1277">
        <f t="shared" si="6"/>
        <v>-9.5821355674216332E-7</v>
      </c>
      <c r="R22" s="1278">
        <f t="shared" si="0"/>
        <v>2.5246844143908021E-6</v>
      </c>
      <c r="S22" s="1278">
        <f t="shared" si="0"/>
        <v>4.3494563182934673E-7</v>
      </c>
      <c r="T22" s="1495">
        <f t="shared" si="0"/>
        <v>-4.7879265106142735E-7</v>
      </c>
    </row>
    <row r="23" spans="3:20" x14ac:dyDescent="0.25">
      <c r="C23" s="1268">
        <v>940</v>
      </c>
      <c r="D23" s="1269" t="s">
        <v>46</v>
      </c>
      <c r="E23" s="1254">
        <f>C23*63360*2.54/100</f>
        <v>1512783.36</v>
      </c>
      <c r="F23" s="1435">
        <v>189</v>
      </c>
      <c r="G23" s="1269" t="s">
        <v>14</v>
      </c>
      <c r="H23" s="1254">
        <f t="shared" si="7"/>
        <v>11340</v>
      </c>
      <c r="I23" s="1532">
        <f t="shared" si="2"/>
        <v>480.24868571428578</v>
      </c>
      <c r="J23" s="1323">
        <f t="shared" si="3"/>
        <v>8004.1447619047631</v>
      </c>
      <c r="K23" s="1323">
        <f t="shared" si="4"/>
        <v>133.40241269841272</v>
      </c>
      <c r="L23" s="1324">
        <f t="shared" si="5"/>
        <v>298.40231497097409</v>
      </c>
      <c r="M23" s="1254">
        <v>480.24900000000002</v>
      </c>
      <c r="N23" s="1446">
        <v>8004.14</v>
      </c>
      <c r="O23" s="1446">
        <v>133.40199999999999</v>
      </c>
      <c r="P23" s="1254">
        <v>298.40199999999999</v>
      </c>
      <c r="Q23" s="1277">
        <f t="shared" si="6"/>
        <v>-6.5442285130225632E-7</v>
      </c>
      <c r="R23" s="1278">
        <f t="shared" si="0"/>
        <v>5.949298650130562E-7</v>
      </c>
      <c r="S23" s="1278">
        <f t="shared" si="0"/>
        <v>3.0936352977667782E-6</v>
      </c>
      <c r="T23" s="1495">
        <f t="shared" si="0"/>
        <v>1.055524566332595E-6</v>
      </c>
    </row>
    <row r="24" spans="3:20" x14ac:dyDescent="0.25">
      <c r="C24" s="1268">
        <v>67</v>
      </c>
      <c r="D24" s="1269" t="s">
        <v>43</v>
      </c>
      <c r="E24" s="1254">
        <f>C24/1000</f>
        <v>6.7000000000000004E-2</v>
      </c>
      <c r="F24" s="1435">
        <v>5125</v>
      </c>
      <c r="G24" s="1269" t="s">
        <v>14</v>
      </c>
      <c r="H24" s="1254">
        <f t="shared" si="7"/>
        <v>307500</v>
      </c>
      <c r="I24" s="1532">
        <f t="shared" si="2"/>
        <v>7.843902439024391E-7</v>
      </c>
      <c r="J24" s="1323">
        <f t="shared" si="3"/>
        <v>1.3073170731707318E-5</v>
      </c>
      <c r="K24" s="1323">
        <f t="shared" si="4"/>
        <v>2.1788617886178864E-7</v>
      </c>
      <c r="L24" s="1324">
        <f t="shared" si="5"/>
        <v>4.8738054175620668E-7</v>
      </c>
      <c r="M24" s="1605">
        <v>7.8439024390243899E-7</v>
      </c>
      <c r="N24" s="1477">
        <v>1.3073170731707301E-5</v>
      </c>
      <c r="O24" s="1477">
        <v>2.1788617886178901E-7</v>
      </c>
      <c r="P24" s="1605">
        <v>4.87380541756207E-7</v>
      </c>
      <c r="Q24" s="1277">
        <f t="shared" si="6"/>
        <v>1.3498270692407615E-16</v>
      </c>
      <c r="R24" s="1278">
        <f t="shared" si="0"/>
        <v>1.295833986471131E-15</v>
      </c>
      <c r="S24" s="1278">
        <f t="shared" si="0"/>
        <v>-1.7007821072433595E-15</v>
      </c>
      <c r="T24" s="1495">
        <f t="shared" si="0"/>
        <v>-6.5172350557082451E-16</v>
      </c>
    </row>
    <row r="25" spans="3:20" x14ac:dyDescent="0.25">
      <c r="C25" s="1268">
        <v>8</v>
      </c>
      <c r="D25" s="1269" t="s">
        <v>44</v>
      </c>
      <c r="E25" s="1254">
        <f>C25*0.9144</f>
        <v>7.3151999999999999</v>
      </c>
      <c r="F25" s="1268">
        <v>4</v>
      </c>
      <c r="G25" s="1269" t="s">
        <v>14</v>
      </c>
      <c r="H25" s="1254">
        <f>F25*60</f>
        <v>240</v>
      </c>
      <c r="I25" s="1532">
        <f t="shared" si="2"/>
        <v>0.10972799999999999</v>
      </c>
      <c r="J25" s="1323">
        <f t="shared" si="3"/>
        <v>1.8288</v>
      </c>
      <c r="K25" s="1323">
        <f t="shared" si="4"/>
        <v>3.048E-2</v>
      </c>
      <c r="L25" s="1324">
        <f t="shared" si="5"/>
        <v>6.8179445756182427E-2</v>
      </c>
      <c r="M25" s="1254">
        <v>0.10972800000000001</v>
      </c>
      <c r="N25" s="1446">
        <v>1.8288</v>
      </c>
      <c r="O25" s="1446">
        <v>3.048E-2</v>
      </c>
      <c r="P25" s="1254">
        <v>6.8179400000000001E-2</v>
      </c>
      <c r="Q25" s="1277">
        <f t="shared" si="6"/>
        <v>-1.264744441511233E-16</v>
      </c>
      <c r="R25" s="1278">
        <f t="shared" si="0"/>
        <v>0</v>
      </c>
      <c r="S25" s="1278">
        <f t="shared" si="0"/>
        <v>0</v>
      </c>
      <c r="T25" s="1495">
        <f t="shared" si="0"/>
        <v>6.7111402738493336E-7</v>
      </c>
    </row>
    <row r="26" spans="3:20" ht="15.75" thickBot="1" x14ac:dyDescent="0.3">
      <c r="C26" s="1347">
        <v>89500</v>
      </c>
      <c r="D26" s="1348" t="s">
        <v>156</v>
      </c>
      <c r="E26" s="1351">
        <f>C26/1000000</f>
        <v>8.9499999999999996E-2</v>
      </c>
      <c r="F26" s="1347">
        <v>984</v>
      </c>
      <c r="G26" s="1348" t="s">
        <v>14</v>
      </c>
      <c r="H26" s="1351">
        <f t="shared" si="7"/>
        <v>59040</v>
      </c>
      <c r="I26" s="1533">
        <f t="shared" si="2"/>
        <v>5.4573170731707312E-6</v>
      </c>
      <c r="J26" s="1534">
        <f t="shared" si="3"/>
        <v>9.0955284552845519E-5</v>
      </c>
      <c r="K26" s="1534">
        <f t="shared" si="4"/>
        <v>1.515921409214092E-6</v>
      </c>
      <c r="L26" s="1535">
        <f t="shared" si="5"/>
        <v>3.3909016236925135E-6</v>
      </c>
      <c r="M26" s="1603">
        <v>5.4573170731707303E-6</v>
      </c>
      <c r="N26" s="1501">
        <v>9.0955284552845505E-5</v>
      </c>
      <c r="O26" s="1501">
        <v>1.5159214092140899E-6</v>
      </c>
      <c r="P26" s="1603">
        <v>3.3909016236925101E-6</v>
      </c>
      <c r="Q26" s="1296">
        <f t="shared" si="6"/>
        <v>1.5521050653598354E-16</v>
      </c>
      <c r="R26" s="1297">
        <f t="shared" si="0"/>
        <v>1.490020862745442E-16</v>
      </c>
      <c r="S26" s="1297">
        <f t="shared" si="0"/>
        <v>1.3968945588238518E-15</v>
      </c>
      <c r="T26" s="1536">
        <f t="shared" si="0"/>
        <v>9.9918315687604773E-16</v>
      </c>
    </row>
    <row r="27" spans="3:20" ht="15.75" thickTop="1" x14ac:dyDescent="0.25">
      <c r="C27" s="92">
        <v>302</v>
      </c>
      <c r="D27" s="61" t="s">
        <v>39</v>
      </c>
      <c r="E27" s="45">
        <f>C27/100</f>
        <v>3.02</v>
      </c>
      <c r="F27" s="313">
        <v>9849</v>
      </c>
      <c r="G27" s="61" t="s">
        <v>15</v>
      </c>
      <c r="H27" s="45">
        <f t="shared" ref="H27:H34" si="8">F27</f>
        <v>9849</v>
      </c>
      <c r="I27" s="449">
        <f t="shared" si="2"/>
        <v>1.1038684130368565E-3</v>
      </c>
      <c r="J27" s="450">
        <f t="shared" si="3"/>
        <v>1.8397806883947609E-2</v>
      </c>
      <c r="K27" s="450">
        <f t="shared" si="4"/>
        <v>3.0663011473246014E-4</v>
      </c>
      <c r="L27" s="451">
        <f t="shared" si="5"/>
        <v>6.8588816517761687E-4</v>
      </c>
      <c r="M27" s="45">
        <v>1.1038700000000001E-3</v>
      </c>
      <c r="N27" s="314">
        <v>1.8397799999999999E-2</v>
      </c>
      <c r="O27" s="314">
        <v>3.0663000000000001E-4</v>
      </c>
      <c r="P27" s="45">
        <v>6.8588799999999995E-4</v>
      </c>
      <c r="Q27" s="190">
        <f t="shared" si="6"/>
        <v>-1.4376379691964208E-6</v>
      </c>
      <c r="R27" s="191">
        <f t="shared" si="6"/>
        <v>3.7417218548321266E-7</v>
      </c>
      <c r="S27" s="191">
        <f t="shared" si="6"/>
        <v>3.7417218537713677E-7</v>
      </c>
      <c r="T27" s="452">
        <f t="shared" si="6"/>
        <v>2.4082295817960655E-7</v>
      </c>
    </row>
    <row r="28" spans="3:20" x14ac:dyDescent="0.25">
      <c r="C28" s="72">
        <v>877</v>
      </c>
      <c r="D28" s="62" t="s">
        <v>40</v>
      </c>
      <c r="E28" s="34">
        <f>C28*0.3048</f>
        <v>267.30959999999999</v>
      </c>
      <c r="F28" s="310">
        <v>949</v>
      </c>
      <c r="G28" s="62" t="s">
        <v>15</v>
      </c>
      <c r="H28" s="34">
        <f t="shared" si="8"/>
        <v>949</v>
      </c>
      <c r="I28" s="453">
        <f t="shared" si="2"/>
        <v>1.0140300948366703</v>
      </c>
      <c r="J28" s="454">
        <f t="shared" si="3"/>
        <v>16.90050158061117</v>
      </c>
      <c r="K28" s="454">
        <f t="shared" si="4"/>
        <v>0.28167502634351949</v>
      </c>
      <c r="L28" s="288">
        <f t="shared" si="5"/>
        <v>0.63006716468042134</v>
      </c>
      <c r="M28" s="34">
        <v>1.01403</v>
      </c>
      <c r="N28" s="117">
        <v>16.900500000000001</v>
      </c>
      <c r="O28" s="117">
        <v>0.28167500000000001</v>
      </c>
      <c r="P28" s="34">
        <v>0.63006700000000004</v>
      </c>
      <c r="Q28" s="155">
        <f t="shared" si="6"/>
        <v>9.3524512514508249E-8</v>
      </c>
      <c r="R28" s="156">
        <f t="shared" si="6"/>
        <v>9.352451236560703E-8</v>
      </c>
      <c r="S28" s="156">
        <f t="shared" si="6"/>
        <v>9.3524512339330347E-8</v>
      </c>
      <c r="T28" s="319">
        <f t="shared" si="6"/>
        <v>2.6136962935230419E-7</v>
      </c>
    </row>
    <row r="29" spans="3:20" x14ac:dyDescent="0.25">
      <c r="C29" s="72">
        <v>33</v>
      </c>
      <c r="D29" s="62" t="s">
        <v>41</v>
      </c>
      <c r="E29" s="34">
        <f>C29*2.54/100</f>
        <v>0.83820000000000006</v>
      </c>
      <c r="F29" s="310">
        <v>984</v>
      </c>
      <c r="G29" s="62" t="s">
        <v>15</v>
      </c>
      <c r="H29" s="34">
        <f t="shared" si="8"/>
        <v>984</v>
      </c>
      <c r="I29" s="453">
        <f t="shared" si="2"/>
        <v>3.0665853658536587E-3</v>
      </c>
      <c r="J29" s="454">
        <f t="shared" si="3"/>
        <v>5.1109756097560979E-2</v>
      </c>
      <c r="K29" s="454">
        <f t="shared" si="4"/>
        <v>8.5182926829268301E-4</v>
      </c>
      <c r="L29" s="288">
        <f t="shared" si="5"/>
        <v>1.9054215023323342E-3</v>
      </c>
      <c r="M29" s="34">
        <v>3.0665900000000001E-3</v>
      </c>
      <c r="N29" s="117">
        <v>5.1109799999999997E-2</v>
      </c>
      <c r="O29" s="117">
        <v>8.5182900000000002E-4</v>
      </c>
      <c r="P29" s="34">
        <v>1.9054199999999999E-3</v>
      </c>
      <c r="Q29" s="155">
        <f t="shared" si="6"/>
        <v>-1.5111747395018736E-6</v>
      </c>
      <c r="R29" s="156">
        <f t="shared" si="6"/>
        <v>-8.5898353601464715E-7</v>
      </c>
      <c r="S29" s="156">
        <f t="shared" si="6"/>
        <v>3.1496062999761954E-7</v>
      </c>
      <c r="T29" s="319">
        <f t="shared" si="6"/>
        <v>7.8845144364880076E-7</v>
      </c>
    </row>
    <row r="30" spans="3:20" x14ac:dyDescent="0.25">
      <c r="C30" s="72">
        <v>9940</v>
      </c>
      <c r="D30" s="62" t="s">
        <v>42</v>
      </c>
      <c r="E30" s="34">
        <f>C30</f>
        <v>9940</v>
      </c>
      <c r="F30" s="310">
        <v>655</v>
      </c>
      <c r="G30" s="62" t="s">
        <v>15</v>
      </c>
      <c r="H30" s="34">
        <f t="shared" si="8"/>
        <v>655</v>
      </c>
      <c r="I30" s="453">
        <f t="shared" si="2"/>
        <v>54.632061068702292</v>
      </c>
      <c r="J30" s="454">
        <f t="shared" si="3"/>
        <v>910.53435114503816</v>
      </c>
      <c r="K30" s="454">
        <f t="shared" si="4"/>
        <v>15.175572519083969</v>
      </c>
      <c r="L30" s="288">
        <f t="shared" si="5"/>
        <v>33.945607722568838</v>
      </c>
      <c r="M30" s="34">
        <v>54.632100000000001</v>
      </c>
      <c r="N30" s="117">
        <v>910.53399999999999</v>
      </c>
      <c r="O30" s="117">
        <v>15.175599999999999</v>
      </c>
      <c r="P30" s="34">
        <v>33.945599999999999</v>
      </c>
      <c r="Q30" s="155">
        <f t="shared" si="6"/>
        <v>-7.1260898724280353E-7</v>
      </c>
      <c r="R30" s="156">
        <f t="shared" si="6"/>
        <v>3.8564721663163763E-7</v>
      </c>
      <c r="S30" s="156">
        <f t="shared" si="6"/>
        <v>-1.8108651911042388E-6</v>
      </c>
      <c r="T30" s="319">
        <f t="shared" si="6"/>
        <v>2.2749832325129585E-7</v>
      </c>
    </row>
    <row r="31" spans="3:20" x14ac:dyDescent="0.25">
      <c r="C31" s="72">
        <v>850</v>
      </c>
      <c r="D31" s="62" t="s">
        <v>46</v>
      </c>
      <c r="E31" s="34">
        <f>C31*63360*2.54/100</f>
        <v>1367942.4</v>
      </c>
      <c r="F31" s="310">
        <v>9660</v>
      </c>
      <c r="G31" s="62" t="s">
        <v>15</v>
      </c>
      <c r="H31" s="34">
        <f t="shared" si="8"/>
        <v>9660</v>
      </c>
      <c r="I31" s="453">
        <f t="shared" si="2"/>
        <v>509.79219875776397</v>
      </c>
      <c r="J31" s="454">
        <f t="shared" si="3"/>
        <v>8496.536645962733</v>
      </c>
      <c r="K31" s="454">
        <f t="shared" si="4"/>
        <v>141.60894409937887</v>
      </c>
      <c r="L31" s="288">
        <f t="shared" si="5"/>
        <v>316.75916413431338</v>
      </c>
      <c r="M31" s="34">
        <v>509.79199999999997</v>
      </c>
      <c r="N31" s="117">
        <v>8496.5400000000009</v>
      </c>
      <c r="O31" s="117">
        <v>141.60900000000001</v>
      </c>
      <c r="P31" s="34">
        <v>316.75900000000001</v>
      </c>
      <c r="Q31" s="155">
        <f t="shared" si="6"/>
        <v>3.8987996379878904E-7</v>
      </c>
      <c r="R31" s="156">
        <f t="shared" si="6"/>
        <v>-3.9475346339477773E-7</v>
      </c>
      <c r="S31" s="156">
        <f t="shared" si="6"/>
        <v>-3.9475346342153852E-7</v>
      </c>
      <c r="T31" s="319">
        <f t="shared" si="6"/>
        <v>5.1816752899372118E-7</v>
      </c>
    </row>
    <row r="32" spans="3:20" x14ac:dyDescent="0.25">
      <c r="C32" s="72">
        <v>640</v>
      </c>
      <c r="D32" s="62" t="s">
        <v>43</v>
      </c>
      <c r="E32" s="34">
        <f>C32/1000</f>
        <v>0.64</v>
      </c>
      <c r="F32" s="310">
        <v>845</v>
      </c>
      <c r="G32" s="62" t="s">
        <v>15</v>
      </c>
      <c r="H32" s="34">
        <f t="shared" si="8"/>
        <v>845</v>
      </c>
      <c r="I32" s="453">
        <f t="shared" si="2"/>
        <v>2.7266272189349111E-3</v>
      </c>
      <c r="J32" s="454">
        <f t="shared" si="3"/>
        <v>4.5443786982248519E-2</v>
      </c>
      <c r="K32" s="454">
        <f t="shared" si="4"/>
        <v>7.57396449704142E-4</v>
      </c>
      <c r="L32" s="288">
        <f t="shared" si="5"/>
        <v>1.694188653495036E-3</v>
      </c>
      <c r="M32" s="34">
        <v>2.7266299999999999E-3</v>
      </c>
      <c r="N32" s="117">
        <v>4.5443799999999999E-2</v>
      </c>
      <c r="O32" s="117">
        <v>7.5739600000000002E-4</v>
      </c>
      <c r="P32" s="34">
        <v>1.6941899999999999E-3</v>
      </c>
      <c r="Q32" s="155">
        <f t="shared" si="6"/>
        <v>-1.0199652777651324E-6</v>
      </c>
      <c r="R32" s="156">
        <f t="shared" si="6"/>
        <v>-2.8645833336957919E-7</v>
      </c>
      <c r="S32" s="156">
        <f t="shared" si="6"/>
        <v>5.9374999995852676E-7</v>
      </c>
      <c r="T32" s="319">
        <f t="shared" si="6"/>
        <v>-7.9477864591650345E-7</v>
      </c>
    </row>
    <row r="33" spans="3:20" x14ac:dyDescent="0.25">
      <c r="C33" s="72">
        <v>112</v>
      </c>
      <c r="D33" s="62" t="s">
        <v>44</v>
      </c>
      <c r="E33" s="34">
        <f>C33*0.9144</f>
        <v>102.4128</v>
      </c>
      <c r="F33" s="72">
        <v>86</v>
      </c>
      <c r="G33" s="62" t="s">
        <v>15</v>
      </c>
      <c r="H33" s="34">
        <f t="shared" si="8"/>
        <v>86</v>
      </c>
      <c r="I33" s="453">
        <f t="shared" si="2"/>
        <v>4.2870474418604649</v>
      </c>
      <c r="J33" s="454">
        <f t="shared" si="3"/>
        <v>71.450790697674421</v>
      </c>
      <c r="K33" s="454">
        <f t="shared" si="4"/>
        <v>1.190846511627907</v>
      </c>
      <c r="L33" s="288">
        <f t="shared" si="5"/>
        <v>2.6637550900089879</v>
      </c>
      <c r="M33" s="34">
        <v>4.2870499999999998</v>
      </c>
      <c r="N33" s="117">
        <v>71.450800000000001</v>
      </c>
      <c r="O33" s="117">
        <v>1.19085</v>
      </c>
      <c r="P33" s="34">
        <v>2.6637599999999999</v>
      </c>
      <c r="Q33" s="155">
        <f t="shared" si="6"/>
        <v>-5.9671360524047112E-7</v>
      </c>
      <c r="R33" s="156">
        <f t="shared" si="6"/>
        <v>-1.3019205930711277E-7</v>
      </c>
      <c r="S33" s="156">
        <f t="shared" si="6"/>
        <v>-2.9293213347829559E-6</v>
      </c>
      <c r="T33" s="319">
        <f t="shared" si="6"/>
        <v>-1.8432591758934976E-6</v>
      </c>
    </row>
    <row r="34" spans="3:20" ht="15.75" thickBot="1" x14ac:dyDescent="0.3">
      <c r="C34" s="75">
        <v>460</v>
      </c>
      <c r="D34" s="73" t="s">
        <v>156</v>
      </c>
      <c r="E34" s="21">
        <f>C34/1000000</f>
        <v>4.6000000000000001E-4</v>
      </c>
      <c r="F34" s="75">
        <v>9</v>
      </c>
      <c r="G34" s="73" t="s">
        <v>15</v>
      </c>
      <c r="H34" s="21">
        <f t="shared" si="8"/>
        <v>9</v>
      </c>
      <c r="I34" s="455">
        <f t="shared" si="2"/>
        <v>1.8400000000000003E-4</v>
      </c>
      <c r="J34" s="456">
        <f t="shared" si="3"/>
        <v>3.0666666666666668E-3</v>
      </c>
      <c r="K34" s="456">
        <f t="shared" si="4"/>
        <v>5.1111111111111115E-5</v>
      </c>
      <c r="L34" s="457">
        <f t="shared" si="5"/>
        <v>1.1432832111345844E-4</v>
      </c>
      <c r="M34" s="21">
        <v>1.84E-4</v>
      </c>
      <c r="N34" s="134">
        <v>3.0666700000000001E-3</v>
      </c>
      <c r="O34" s="2139">
        <v>5.1111111111111101E-5</v>
      </c>
      <c r="P34" s="21">
        <v>1.1432799999999999E-4</v>
      </c>
      <c r="Q34" s="196">
        <f t="shared" si="6"/>
        <v>1.4731007778335655E-16</v>
      </c>
      <c r="R34" s="197">
        <f t="shared" si="6"/>
        <v>-1.0869565217326751E-6</v>
      </c>
      <c r="S34" s="197">
        <f t="shared" si="6"/>
        <v>2.6515814001004185E-16</v>
      </c>
      <c r="T34" s="458">
        <f t="shared" si="6"/>
        <v>2.8086956522623001E-6</v>
      </c>
    </row>
    <row r="35" spans="3:20" ht="15.75" thickTop="1" x14ac:dyDescent="0.25"/>
    <row r="36" spans="3:20" ht="15.75" thickBot="1" x14ac:dyDescent="0.3"/>
    <row r="37" spans="3:20" ht="15.75" thickTop="1" x14ac:dyDescent="0.25">
      <c r="C37" s="2488" t="s">
        <v>0</v>
      </c>
      <c r="D37" s="2489"/>
      <c r="E37" s="2489"/>
      <c r="F37" s="2489"/>
      <c r="G37" s="2489"/>
      <c r="H37" s="2489"/>
      <c r="I37" s="2483" t="s">
        <v>158</v>
      </c>
      <c r="J37" s="2484"/>
      <c r="K37" s="2485"/>
      <c r="L37" s="2488" t="s">
        <v>16</v>
      </c>
      <c r="M37" s="2489"/>
      <c r="N37" s="2495"/>
      <c r="O37" s="2483" t="s">
        <v>8</v>
      </c>
      <c r="P37" s="2484"/>
      <c r="Q37" s="2485"/>
    </row>
    <row r="38" spans="3:20" ht="15.75" thickBot="1" x14ac:dyDescent="0.3">
      <c r="C38" s="2486" t="s">
        <v>29</v>
      </c>
      <c r="D38" s="2487"/>
      <c r="E38" s="2487"/>
      <c r="F38" s="2486" t="s">
        <v>148</v>
      </c>
      <c r="G38" s="2487"/>
      <c r="H38" s="2496"/>
      <c r="I38" s="2480" t="s">
        <v>2</v>
      </c>
      <c r="J38" s="2481"/>
      <c r="K38" s="2482"/>
      <c r="L38" s="2486" t="s">
        <v>2</v>
      </c>
      <c r="M38" s="2487"/>
      <c r="N38" s="2496"/>
      <c r="O38" s="2480" t="s">
        <v>2</v>
      </c>
      <c r="P38" s="2481"/>
      <c r="Q38" s="2482"/>
    </row>
    <row r="39" spans="3:20" ht="15.75" thickBot="1" x14ac:dyDescent="0.3">
      <c r="C39" s="484" t="s">
        <v>3</v>
      </c>
      <c r="D39" s="65" t="s">
        <v>4</v>
      </c>
      <c r="E39" s="485" t="s">
        <v>31</v>
      </c>
      <c r="F39" s="15" t="s">
        <v>3</v>
      </c>
      <c r="G39" s="67" t="s">
        <v>4</v>
      </c>
      <c r="H39" s="16" t="s">
        <v>42</v>
      </c>
      <c r="I39" s="13" t="s">
        <v>13</v>
      </c>
      <c r="J39" s="79" t="s">
        <v>14</v>
      </c>
      <c r="K39" s="54" t="s">
        <v>15</v>
      </c>
      <c r="L39" s="14" t="s">
        <v>13</v>
      </c>
      <c r="M39" s="80" t="s">
        <v>14</v>
      </c>
      <c r="N39" s="52" t="s">
        <v>15</v>
      </c>
      <c r="O39" s="13" t="s">
        <v>13</v>
      </c>
      <c r="P39" s="79" t="s">
        <v>14</v>
      </c>
      <c r="Q39" s="54" t="s">
        <v>15</v>
      </c>
    </row>
    <row r="40" spans="3:20" ht="15.75" thickTop="1" x14ac:dyDescent="0.25">
      <c r="C40" s="1108">
        <v>41</v>
      </c>
      <c r="D40" s="964" t="s">
        <v>36</v>
      </c>
      <c r="E40" s="965">
        <f>C40*1000/3600</f>
        <v>11.388888888888889</v>
      </c>
      <c r="F40" s="1091">
        <v>806</v>
      </c>
      <c r="G40" s="1052" t="s">
        <v>39</v>
      </c>
      <c r="H40" s="1055">
        <f>F40/100</f>
        <v>8.06</v>
      </c>
      <c r="I40" s="1140">
        <f>K40/3600</f>
        <v>1.9658536585365856E-4</v>
      </c>
      <c r="J40" s="1141">
        <f>K40/60</f>
        <v>1.1795121951219513E-2</v>
      </c>
      <c r="K40" s="1142">
        <f>H40/E40</f>
        <v>0.70770731707317081</v>
      </c>
      <c r="L40" s="1164">
        <v>1.9658499999999999E-4</v>
      </c>
      <c r="M40" s="1165">
        <v>1.1795099999999999E-2</v>
      </c>
      <c r="N40" s="1166">
        <v>0.70770699999999997</v>
      </c>
      <c r="O40" s="885">
        <f t="shared" ref="O40:Q41" si="9" xml:space="preserve"> (I40-L40)/I40</f>
        <v>1.8610421837731959E-6</v>
      </c>
      <c r="P40" s="886">
        <f t="shared" si="9"/>
        <v>1.8610421837731959E-6</v>
      </c>
      <c r="Q40" s="887">
        <f t="shared" si="9"/>
        <v>4.4802867397427484E-7</v>
      </c>
    </row>
    <row r="41" spans="3:20" x14ac:dyDescent="0.25">
      <c r="C41" s="71">
        <v>1200</v>
      </c>
      <c r="D41" s="59" t="s">
        <v>37</v>
      </c>
      <c r="E41" s="32">
        <f>C41/60</f>
        <v>20</v>
      </c>
      <c r="F41" s="71">
        <v>240</v>
      </c>
      <c r="G41" s="59" t="s">
        <v>39</v>
      </c>
      <c r="H41" s="889">
        <f>F41/100</f>
        <v>2.4</v>
      </c>
      <c r="I41" s="1129">
        <f t="shared" ref="I41:I67" si="10">K41/3600</f>
        <v>3.3333333333333335E-5</v>
      </c>
      <c r="J41" s="1127">
        <f t="shared" ref="J41:J67" si="11">K41/60</f>
        <v>2E-3</v>
      </c>
      <c r="K41" s="1130">
        <f t="shared" ref="K41:K67" si="12">H41/E41</f>
        <v>0.12</v>
      </c>
      <c r="L41" s="1117">
        <v>3.3333333333333301E-5</v>
      </c>
      <c r="M41" s="1060">
        <v>2E-3</v>
      </c>
      <c r="N41" s="889">
        <v>0.12</v>
      </c>
      <c r="O41" s="897">
        <f t="shared" si="9"/>
        <v>1.0164395367051604E-15</v>
      </c>
      <c r="P41" s="898">
        <f t="shared" si="9"/>
        <v>0</v>
      </c>
      <c r="Q41" s="899">
        <f t="shared" si="9"/>
        <v>0</v>
      </c>
    </row>
    <row r="42" spans="3:20" x14ac:dyDescent="0.25">
      <c r="C42" s="71">
        <v>520</v>
      </c>
      <c r="D42" s="59" t="s">
        <v>31</v>
      </c>
      <c r="E42" s="32">
        <f>C42</f>
        <v>520</v>
      </c>
      <c r="F42" s="71">
        <v>217</v>
      </c>
      <c r="G42" s="59" t="s">
        <v>39</v>
      </c>
      <c r="H42" s="889">
        <f>F42/100</f>
        <v>2.17</v>
      </c>
      <c r="I42" s="1129">
        <f t="shared" si="10"/>
        <v>1.159188034188034E-6</v>
      </c>
      <c r="J42" s="1127">
        <f t="shared" si="11"/>
        <v>6.9551282051282041E-5</v>
      </c>
      <c r="K42" s="1130">
        <f t="shared" si="12"/>
        <v>4.1730769230769226E-3</v>
      </c>
      <c r="L42" s="1117">
        <v>1.1591880341880299E-6</v>
      </c>
      <c r="M42" s="1110">
        <v>6.9551282051282001E-5</v>
      </c>
      <c r="N42" s="889">
        <v>4.17308E-3</v>
      </c>
      <c r="O42" s="897">
        <f t="shared" ref="O42:O67" si="13" xml:space="preserve"> (I42-L42)/I42</f>
        <v>3.4708833949240736E-15</v>
      </c>
      <c r="P42" s="898">
        <f xml:space="preserve"> (J42-M42)/J42</f>
        <v>5.8456983493458083E-16</v>
      </c>
      <c r="Q42" s="899">
        <f xml:space="preserve"> (K42-N42)/K42</f>
        <v>-7.3732718906361934E-7</v>
      </c>
    </row>
    <row r="43" spans="3:20" ht="15.75" thickBot="1" x14ac:dyDescent="0.3">
      <c r="C43" s="952">
        <v>9</v>
      </c>
      <c r="D43" s="953" t="s">
        <v>38</v>
      </c>
      <c r="E43" s="1065">
        <f>C43*1609.4/3600</f>
        <v>4.0235000000000003</v>
      </c>
      <c r="F43" s="952">
        <v>12898</v>
      </c>
      <c r="G43" s="953" t="s">
        <v>39</v>
      </c>
      <c r="H43" s="954">
        <f>F43/100</f>
        <v>128.97999999999999</v>
      </c>
      <c r="I43" s="2390">
        <f t="shared" si="10"/>
        <v>8.9046297446943624E-3</v>
      </c>
      <c r="J43" s="2391">
        <f t="shared" si="11"/>
        <v>0.53427778468166176</v>
      </c>
      <c r="K43" s="2392">
        <f t="shared" si="12"/>
        <v>32.056667080899707</v>
      </c>
      <c r="L43" s="1064">
        <v>8.9046300000000002E-3</v>
      </c>
      <c r="M43" s="1066">
        <v>0.53427800000000003</v>
      </c>
      <c r="N43" s="954">
        <v>32.056699999999999</v>
      </c>
      <c r="O43" s="911">
        <f t="shared" si="13"/>
        <v>-2.8671112113787417E-8</v>
      </c>
      <c r="P43" s="912">
        <f t="shared" ref="P43:P67" si="14" xml:space="preserve"> (J43-M43)/J43</f>
        <v>-4.0300821865269574E-7</v>
      </c>
      <c r="Q43" s="913">
        <f t="shared" ref="Q43:Q67" si="15" xml:space="preserve"> (K43-N43)/K43</f>
        <v>-1.0269033960651571E-6</v>
      </c>
    </row>
    <row r="44" spans="3:20" ht="15.75" thickTop="1" x14ac:dyDescent="0.25">
      <c r="C44" s="1332">
        <v>154</v>
      </c>
      <c r="D44" s="1333" t="s">
        <v>36</v>
      </c>
      <c r="E44" s="1334">
        <f>C44*1000/3600</f>
        <v>42.777777777777779</v>
      </c>
      <c r="F44" s="1332">
        <v>658</v>
      </c>
      <c r="G44" s="1333" t="s">
        <v>40</v>
      </c>
      <c r="H44" s="1370">
        <f>F44*0.3048</f>
        <v>200.55840000000001</v>
      </c>
      <c r="I44" s="2393">
        <f t="shared" si="10"/>
        <v>1.3023272727272729E-3</v>
      </c>
      <c r="J44" s="2394">
        <f t="shared" si="11"/>
        <v>7.8139636363636369E-2</v>
      </c>
      <c r="K44" s="2395">
        <f t="shared" si="12"/>
        <v>4.688378181818182</v>
      </c>
      <c r="L44" s="1431">
        <v>1.30233E-3</v>
      </c>
      <c r="M44" s="1442">
        <v>7.8139600000000003E-2</v>
      </c>
      <c r="N44" s="1370">
        <v>4.6883800000000004</v>
      </c>
      <c r="O44" s="1265">
        <f t="shared" si="13"/>
        <v>-2.0941531243429323E-6</v>
      </c>
      <c r="P44" s="1266">
        <f t="shared" si="14"/>
        <v>4.6536736102429688E-7</v>
      </c>
      <c r="Q44" s="1267">
        <f t="shared" si="15"/>
        <v>-3.8780613421651447E-7</v>
      </c>
    </row>
    <row r="45" spans="3:20" x14ac:dyDescent="0.25">
      <c r="C45" s="1268">
        <v>9</v>
      </c>
      <c r="D45" s="1269" t="s">
        <v>37</v>
      </c>
      <c r="E45" s="1254">
        <f>C45/60</f>
        <v>0.15</v>
      </c>
      <c r="F45" s="1268">
        <v>4</v>
      </c>
      <c r="G45" s="1269" t="s">
        <v>40</v>
      </c>
      <c r="H45" s="1270">
        <f>F45*0.3048</f>
        <v>1.2192000000000001</v>
      </c>
      <c r="I45" s="1510">
        <f t="shared" si="10"/>
        <v>2.2577777777777778E-3</v>
      </c>
      <c r="J45" s="1511">
        <f t="shared" si="11"/>
        <v>0.13546666666666668</v>
      </c>
      <c r="K45" s="1512">
        <f t="shared" si="12"/>
        <v>8.1280000000000001</v>
      </c>
      <c r="L45" s="1435">
        <v>2.25778E-3</v>
      </c>
      <c r="M45" s="1446">
        <v>0.135467</v>
      </c>
      <c r="N45" s="1270">
        <v>8.1280000000000001</v>
      </c>
      <c r="O45" s="1277">
        <f t="shared" si="13"/>
        <v>-9.8425196849809167E-7</v>
      </c>
      <c r="P45" s="1278">
        <f t="shared" si="14"/>
        <v>-2.4606299211940068E-6</v>
      </c>
      <c r="Q45" s="1279">
        <f t="shared" si="15"/>
        <v>0</v>
      </c>
    </row>
    <row r="46" spans="3:20" x14ac:dyDescent="0.25">
      <c r="C46" s="1268">
        <v>5698</v>
      </c>
      <c r="D46" s="1269" t="s">
        <v>31</v>
      </c>
      <c r="E46" s="1254">
        <f>C46</f>
        <v>5698</v>
      </c>
      <c r="F46" s="1268">
        <v>239</v>
      </c>
      <c r="G46" s="1269" t="s">
        <v>40</v>
      </c>
      <c r="H46" s="1270">
        <f>F46*0.3048</f>
        <v>72.847200000000001</v>
      </c>
      <c r="I46" s="1510">
        <f t="shared" si="10"/>
        <v>3.551304551304551E-6</v>
      </c>
      <c r="J46" s="1511">
        <f t="shared" si="11"/>
        <v>2.1307827307827306E-4</v>
      </c>
      <c r="K46" s="1512">
        <f t="shared" si="12"/>
        <v>1.2784696384696384E-2</v>
      </c>
      <c r="L46" s="1499">
        <v>3.5513045513045501E-6</v>
      </c>
      <c r="M46" s="1446">
        <v>2.1307800000000001E-4</v>
      </c>
      <c r="N46" s="1270">
        <v>1.27847E-2</v>
      </c>
      <c r="O46" s="1277">
        <f t="shared" si="13"/>
        <v>2.3851318156961441E-16</v>
      </c>
      <c r="P46" s="1278">
        <f t="shared" si="14"/>
        <v>1.2815866634478733E-6</v>
      </c>
      <c r="Q46" s="1279">
        <f t="shared" si="15"/>
        <v>-2.8278368971153895E-7</v>
      </c>
    </row>
    <row r="47" spans="3:20" ht="15.75" thickBot="1" x14ac:dyDescent="0.3">
      <c r="C47" s="1347">
        <v>96</v>
      </c>
      <c r="D47" s="1348" t="s">
        <v>38</v>
      </c>
      <c r="E47" s="1351">
        <f>C47*1609.4/3600</f>
        <v>42.917333333333339</v>
      </c>
      <c r="F47" s="1347">
        <v>489</v>
      </c>
      <c r="G47" s="1348" t="s">
        <v>40</v>
      </c>
      <c r="H47" s="1375">
        <f>F47*0.3048</f>
        <v>149.0472</v>
      </c>
      <c r="I47" s="2396">
        <f t="shared" si="10"/>
        <v>9.6469181061265062E-4</v>
      </c>
      <c r="J47" s="2397">
        <f t="shared" si="11"/>
        <v>5.7881508636759033E-2</v>
      </c>
      <c r="K47" s="2398">
        <f t="shared" si="12"/>
        <v>3.4728905182055421</v>
      </c>
      <c r="L47" s="1440">
        <v>9.6469199999999996E-4</v>
      </c>
      <c r="M47" s="1451">
        <v>5.7881500000000002E-2</v>
      </c>
      <c r="N47" s="1375">
        <v>3.47289</v>
      </c>
      <c r="O47" s="1296">
        <f t="shared" si="13"/>
        <v>-1.9631901841869742E-7</v>
      </c>
      <c r="P47" s="1297">
        <f t="shared" si="14"/>
        <v>1.4921447684404989E-7</v>
      </c>
      <c r="Q47" s="1298">
        <f t="shared" si="15"/>
        <v>1.4921447690798643E-7</v>
      </c>
    </row>
    <row r="48" spans="3:20" ht="15.75" thickTop="1" x14ac:dyDescent="0.25">
      <c r="C48" s="92">
        <v>499</v>
      </c>
      <c r="D48" s="61" t="s">
        <v>36</v>
      </c>
      <c r="E48" s="45">
        <f>C48*1000/3600</f>
        <v>138.61111111111111</v>
      </c>
      <c r="F48" s="92">
        <v>14586</v>
      </c>
      <c r="G48" s="61" t="s">
        <v>41</v>
      </c>
      <c r="H48" s="48">
        <f>F48*2.54/100</f>
        <v>370.48440000000005</v>
      </c>
      <c r="I48" s="2399">
        <f t="shared" si="10"/>
        <v>7.4245370741482975E-4</v>
      </c>
      <c r="J48" s="2400">
        <f t="shared" si="11"/>
        <v>4.4547222444889782E-2</v>
      </c>
      <c r="K48" s="2401">
        <f t="shared" si="12"/>
        <v>2.6728333466933871</v>
      </c>
      <c r="L48" s="313">
        <v>7.4245400000000003E-4</v>
      </c>
      <c r="M48" s="314">
        <v>4.4547200000000002E-2</v>
      </c>
      <c r="N48" s="48">
        <v>2.6728299999999998</v>
      </c>
      <c r="O48" s="190">
        <f t="shared" si="13"/>
        <v>-3.9407867098301878E-7</v>
      </c>
      <c r="P48" s="191">
        <f t="shared" si="14"/>
        <v>5.0384487625149456E-7</v>
      </c>
      <c r="Q48" s="192">
        <f t="shared" si="15"/>
        <v>1.2521144991877089E-6</v>
      </c>
    </row>
    <row r="49" spans="3:17" x14ac:dyDescent="0.25">
      <c r="C49" s="72">
        <v>60</v>
      </c>
      <c r="D49" s="62" t="s">
        <v>37</v>
      </c>
      <c r="E49" s="34">
        <f>C49/60</f>
        <v>1</v>
      </c>
      <c r="F49" s="72">
        <v>42</v>
      </c>
      <c r="G49" s="62" t="s">
        <v>41</v>
      </c>
      <c r="H49" s="35">
        <f>F49*2.54/100</f>
        <v>1.0668</v>
      </c>
      <c r="I49" s="784">
        <f t="shared" si="10"/>
        <v>2.9633333333333334E-4</v>
      </c>
      <c r="J49" s="766">
        <f t="shared" si="11"/>
        <v>1.7780000000000001E-2</v>
      </c>
      <c r="K49" s="785">
        <f t="shared" si="12"/>
        <v>1.0668</v>
      </c>
      <c r="L49" s="310">
        <v>2.9633300000000002E-4</v>
      </c>
      <c r="M49" s="117">
        <v>1.7780000000000001E-2</v>
      </c>
      <c r="N49" s="35">
        <v>1.0668</v>
      </c>
      <c r="O49" s="155">
        <f t="shared" si="13"/>
        <v>1.1248593925326604E-6</v>
      </c>
      <c r="P49" s="156">
        <f t="shared" si="14"/>
        <v>0</v>
      </c>
      <c r="Q49" s="157">
        <f t="shared" si="15"/>
        <v>0</v>
      </c>
    </row>
    <row r="50" spans="3:17" x14ac:dyDescent="0.25">
      <c r="C50" s="72">
        <v>840</v>
      </c>
      <c r="D50" s="62" t="s">
        <v>31</v>
      </c>
      <c r="E50" s="34">
        <f>C50</f>
        <v>840</v>
      </c>
      <c r="F50" s="72">
        <v>6</v>
      </c>
      <c r="G50" s="62" t="s">
        <v>41</v>
      </c>
      <c r="H50" s="35">
        <f>F50*2.54/100</f>
        <v>0.15240000000000001</v>
      </c>
      <c r="I50" s="784">
        <f t="shared" si="10"/>
        <v>5.0396825396825398E-8</v>
      </c>
      <c r="J50" s="766">
        <f t="shared" si="11"/>
        <v>3.0238095238095239E-6</v>
      </c>
      <c r="K50" s="785">
        <f t="shared" si="12"/>
        <v>1.8142857142857142E-4</v>
      </c>
      <c r="L50" s="2171">
        <v>5.0396825396825398E-8</v>
      </c>
      <c r="M50" s="739">
        <v>3.0238095238095201E-6</v>
      </c>
      <c r="N50" s="35">
        <v>1.8142899999999999E-4</v>
      </c>
      <c r="O50" s="155">
        <f t="shared" si="13"/>
        <v>0</v>
      </c>
      <c r="P50" s="156">
        <f t="shared" si="14"/>
        <v>1.2605450947327775E-15</v>
      </c>
      <c r="Q50" s="157">
        <f t="shared" si="15"/>
        <v>-2.362204724361272E-6</v>
      </c>
    </row>
    <row r="51" spans="3:17" ht="15.75" thickBot="1" x14ac:dyDescent="0.3">
      <c r="C51" s="141">
        <v>560</v>
      </c>
      <c r="D51" s="290" t="s">
        <v>38</v>
      </c>
      <c r="E51" s="294">
        <f>C51*1609.4/3600</f>
        <v>250.35111111111112</v>
      </c>
      <c r="F51" s="141">
        <v>156</v>
      </c>
      <c r="G51" s="290" t="s">
        <v>41</v>
      </c>
      <c r="H51" s="291">
        <f>F51*2.54/100</f>
        <v>3.9624000000000001</v>
      </c>
      <c r="I51" s="2402">
        <f t="shared" si="10"/>
        <v>4.396492037849065E-6</v>
      </c>
      <c r="J51" s="2403">
        <f t="shared" si="11"/>
        <v>2.6378952227094389E-4</v>
      </c>
      <c r="K51" s="2404">
        <f t="shared" si="12"/>
        <v>1.5827371336256633E-2</v>
      </c>
      <c r="L51" s="2148">
        <v>4.39649203784907E-6</v>
      </c>
      <c r="M51" s="317">
        <v>2.6379000000000002E-4</v>
      </c>
      <c r="N51" s="291">
        <v>1.5827399999999998E-2</v>
      </c>
      <c r="O51" s="162">
        <f t="shared" si="13"/>
        <v>-1.1559665387253177E-15</v>
      </c>
      <c r="P51" s="163">
        <f t="shared" si="14"/>
        <v>-1.8110236222310857E-6</v>
      </c>
      <c r="Q51" s="164">
        <f t="shared" si="15"/>
        <v>-1.8110236220529813E-6</v>
      </c>
    </row>
    <row r="52" spans="3:17" ht="15.75" thickTop="1" x14ac:dyDescent="0.25">
      <c r="C52" s="382">
        <v>1122</v>
      </c>
      <c r="D52" s="383" t="s">
        <v>36</v>
      </c>
      <c r="E52" s="384">
        <f>C52*1000/3600</f>
        <v>311.66666666666669</v>
      </c>
      <c r="F52" s="382">
        <v>125</v>
      </c>
      <c r="G52" s="383" t="s">
        <v>42</v>
      </c>
      <c r="H52" s="390">
        <f>F52</f>
        <v>125</v>
      </c>
      <c r="I52" s="2405">
        <f t="shared" si="10"/>
        <v>1.1140819964349375E-4</v>
      </c>
      <c r="J52" s="2406">
        <f t="shared" si="11"/>
        <v>6.6844919786096255E-3</v>
      </c>
      <c r="K52" s="2407">
        <f t="shared" si="12"/>
        <v>0.40106951871657753</v>
      </c>
      <c r="L52" s="420">
        <v>1.11408E-4</v>
      </c>
      <c r="M52" s="421">
        <v>6.6844900000000004E-3</v>
      </c>
      <c r="N52" s="390">
        <v>0.40106999999999998</v>
      </c>
      <c r="O52" s="210">
        <f t="shared" si="13"/>
        <v>1.7919999999304204E-6</v>
      </c>
      <c r="P52" s="211">
        <f t="shared" si="14"/>
        <v>2.9599999991497542E-7</v>
      </c>
      <c r="Q52" s="212">
        <f t="shared" si="15"/>
        <v>-1.1999999999723344E-6</v>
      </c>
    </row>
    <row r="53" spans="3:17" x14ac:dyDescent="0.25">
      <c r="C53" s="213">
        <v>630</v>
      </c>
      <c r="D53" s="214" t="s">
        <v>37</v>
      </c>
      <c r="E53" s="215">
        <f>C53/60</f>
        <v>10.5</v>
      </c>
      <c r="F53" s="379">
        <v>15.5</v>
      </c>
      <c r="G53" s="214" t="s">
        <v>42</v>
      </c>
      <c r="H53" s="216">
        <f>F53</f>
        <v>15.5</v>
      </c>
      <c r="I53" s="790">
        <f t="shared" si="10"/>
        <v>4.1005291005291009E-4</v>
      </c>
      <c r="J53" s="772">
        <f t="shared" si="11"/>
        <v>2.4603174603174606E-2</v>
      </c>
      <c r="K53" s="791">
        <f t="shared" si="12"/>
        <v>1.4761904761904763</v>
      </c>
      <c r="L53" s="412">
        <v>4.1005300000000001E-4</v>
      </c>
      <c r="M53" s="274">
        <v>2.4603199999999999E-2</v>
      </c>
      <c r="N53" s="216">
        <v>1.4761899999999999</v>
      </c>
      <c r="O53" s="221">
        <f t="shared" si="13"/>
        <v>-2.1935483865297546E-7</v>
      </c>
      <c r="P53" s="222">
        <f t="shared" si="14"/>
        <v>-1.0322580643488372E-6</v>
      </c>
      <c r="Q53" s="223">
        <f t="shared" si="15"/>
        <v>3.225806452923327E-7</v>
      </c>
    </row>
    <row r="54" spans="3:17" x14ac:dyDescent="0.25">
      <c r="C54" s="213">
        <v>42</v>
      </c>
      <c r="D54" s="214" t="s">
        <v>31</v>
      </c>
      <c r="E54" s="215">
        <f>C54</f>
        <v>42</v>
      </c>
      <c r="F54" s="213">
        <v>456</v>
      </c>
      <c r="G54" s="214" t="s">
        <v>42</v>
      </c>
      <c r="H54" s="216">
        <f>F54</f>
        <v>456</v>
      </c>
      <c r="I54" s="790">
        <f t="shared" si="10"/>
        <v>3.0158730158730161E-3</v>
      </c>
      <c r="J54" s="772">
        <f t="shared" si="11"/>
        <v>0.18095238095238095</v>
      </c>
      <c r="K54" s="791">
        <f t="shared" si="12"/>
        <v>10.857142857142858</v>
      </c>
      <c r="L54" s="412">
        <v>3.0158699999999999E-3</v>
      </c>
      <c r="M54" s="274">
        <v>0.180952</v>
      </c>
      <c r="N54" s="216">
        <v>10.857100000000001</v>
      </c>
      <c r="O54" s="221">
        <f t="shared" si="13"/>
        <v>1.000000000096775E-6</v>
      </c>
      <c r="P54" s="222">
        <f t="shared" si="14"/>
        <v>2.1052631578603217E-6</v>
      </c>
      <c r="Q54" s="223">
        <f t="shared" si="15"/>
        <v>3.9473684210200588E-6</v>
      </c>
    </row>
    <row r="55" spans="3:17" ht="15.75" thickBot="1" x14ac:dyDescent="0.3">
      <c r="C55" s="227">
        <v>1450</v>
      </c>
      <c r="D55" s="228" t="s">
        <v>38</v>
      </c>
      <c r="E55" s="229">
        <f>C55*1609.4/3600</f>
        <v>648.23055555555561</v>
      </c>
      <c r="F55" s="227">
        <v>786</v>
      </c>
      <c r="G55" s="228" t="s">
        <v>42</v>
      </c>
      <c r="H55" s="230">
        <f>F55</f>
        <v>786</v>
      </c>
      <c r="I55" s="2408">
        <f t="shared" si="10"/>
        <v>3.3681431932225755E-4</v>
      </c>
      <c r="J55" s="2409">
        <f t="shared" si="11"/>
        <v>2.0208859159335454E-2</v>
      </c>
      <c r="K55" s="2410">
        <f t="shared" si="12"/>
        <v>1.2125315495601272</v>
      </c>
      <c r="L55" s="422">
        <v>3.36814E-4</v>
      </c>
      <c r="M55" s="423">
        <v>2.0208899999999998E-2</v>
      </c>
      <c r="N55" s="230">
        <v>1.2125300000000001</v>
      </c>
      <c r="O55" s="437">
        <f t="shared" si="13"/>
        <v>9.4806615760598974E-7</v>
      </c>
      <c r="P55" s="438">
        <f t="shared" si="14"/>
        <v>-2.0209287532105546E-6</v>
      </c>
      <c r="Q55" s="439">
        <f t="shared" si="15"/>
        <v>1.2779544809890379E-6</v>
      </c>
    </row>
    <row r="56" spans="3:17" ht="15.75" thickTop="1" x14ac:dyDescent="0.25">
      <c r="C56" s="1639">
        <v>154</v>
      </c>
      <c r="D56" s="127" t="s">
        <v>36</v>
      </c>
      <c r="E56" s="1640">
        <f>C56*1000/3600</f>
        <v>42.777777777777779</v>
      </c>
      <c r="F56" s="1639">
        <v>365</v>
      </c>
      <c r="G56" s="127" t="s">
        <v>43</v>
      </c>
      <c r="H56" s="1642">
        <f>F56/1000</f>
        <v>0.36499999999999999</v>
      </c>
      <c r="I56" s="2411">
        <f t="shared" si="10"/>
        <v>2.3701298701298702E-6</v>
      </c>
      <c r="J56" s="2412">
        <f t="shared" si="11"/>
        <v>1.4220779220779219E-4</v>
      </c>
      <c r="K56" s="2413">
        <f t="shared" si="12"/>
        <v>8.532467532467532E-3</v>
      </c>
      <c r="L56" s="1720">
        <v>2.3701298701298702E-6</v>
      </c>
      <c r="M56" s="132">
        <v>1.42208E-4</v>
      </c>
      <c r="N56" s="1642">
        <v>8.5324700000000003E-3</v>
      </c>
      <c r="O56" s="143">
        <f t="shared" si="13"/>
        <v>0</v>
      </c>
      <c r="P56" s="144">
        <f t="shared" si="14"/>
        <v>-1.4611872147437943E-6</v>
      </c>
      <c r="Q56" s="145">
        <f t="shared" si="15"/>
        <v>-2.8919330297998819E-7</v>
      </c>
    </row>
    <row r="57" spans="3:17" x14ac:dyDescent="0.25">
      <c r="C57" s="1648">
        <v>9</v>
      </c>
      <c r="D57" s="64" t="s">
        <v>37</v>
      </c>
      <c r="E57" s="1253">
        <f>C57/60</f>
        <v>0.15</v>
      </c>
      <c r="F57" s="1648">
        <v>89</v>
      </c>
      <c r="G57" s="64" t="s">
        <v>43</v>
      </c>
      <c r="H57" s="56">
        <f>F57/1000</f>
        <v>8.8999999999999996E-2</v>
      </c>
      <c r="I57" s="1740">
        <f t="shared" si="10"/>
        <v>1.6481481481481482E-4</v>
      </c>
      <c r="J57" s="778">
        <f t="shared" si="11"/>
        <v>9.8888888888888898E-3</v>
      </c>
      <c r="K57" s="1741">
        <f t="shared" si="12"/>
        <v>0.59333333333333338</v>
      </c>
      <c r="L57" s="1683">
        <v>1.6481499999999999E-4</v>
      </c>
      <c r="M57" s="131">
        <v>9.8888899999999991E-3</v>
      </c>
      <c r="N57" s="56">
        <v>0.593333</v>
      </c>
      <c r="O57" s="136">
        <f t="shared" si="13"/>
        <v>-1.1235955055016663E-6</v>
      </c>
      <c r="P57" s="139">
        <f t="shared" si="14"/>
        <v>-1.1235955038570899E-7</v>
      </c>
      <c r="Q57" s="137">
        <f t="shared" si="15"/>
        <v>5.6179775288751568E-7</v>
      </c>
    </row>
    <row r="58" spans="3:17" x14ac:dyDescent="0.25">
      <c r="C58" s="1648">
        <v>5698</v>
      </c>
      <c r="D58" s="64" t="s">
        <v>31</v>
      </c>
      <c r="E58" s="1253">
        <f>C58</f>
        <v>5698</v>
      </c>
      <c r="F58" s="1648">
        <v>589</v>
      </c>
      <c r="G58" s="64" t="s">
        <v>43</v>
      </c>
      <c r="H58" s="56">
        <f>F58/1000</f>
        <v>0.58899999999999997</v>
      </c>
      <c r="I58" s="1740">
        <f t="shared" si="10"/>
        <v>2.8713778713778714E-8</v>
      </c>
      <c r="J58" s="778">
        <f t="shared" si="11"/>
        <v>1.7228267228267228E-6</v>
      </c>
      <c r="K58" s="1741">
        <f t="shared" si="12"/>
        <v>1.0336960336960336E-4</v>
      </c>
      <c r="L58" s="1724">
        <v>2.87137787137787E-8</v>
      </c>
      <c r="M58" s="1725">
        <v>1.72282672282672E-6</v>
      </c>
      <c r="N58" s="56">
        <v>1.0336999999999999E-4</v>
      </c>
      <c r="O58" s="136">
        <f t="shared" si="13"/>
        <v>4.6092469865338529E-16</v>
      </c>
      <c r="P58" s="139">
        <f t="shared" si="14"/>
        <v>1.5978722886650691E-15</v>
      </c>
      <c r="Q58" s="137">
        <f t="shared" si="15"/>
        <v>-3.8370118845527925E-6</v>
      </c>
    </row>
    <row r="59" spans="3:17" ht="15.75" thickBot="1" x14ac:dyDescent="0.3">
      <c r="C59" s="1654">
        <v>96</v>
      </c>
      <c r="D59" s="1655" t="s">
        <v>38</v>
      </c>
      <c r="E59" s="1688">
        <f>C59*1609.4/3600</f>
        <v>42.917333333333339</v>
      </c>
      <c r="F59" s="1654">
        <v>2</v>
      </c>
      <c r="G59" s="1655" t="s">
        <v>43</v>
      </c>
      <c r="H59" s="1658">
        <f>F59/1000</f>
        <v>2E-3</v>
      </c>
      <c r="I59" s="2414">
        <f t="shared" si="10"/>
        <v>1.2944782734766578E-8</v>
      </c>
      <c r="J59" s="2415">
        <f t="shared" si="11"/>
        <v>7.7668696408599465E-7</v>
      </c>
      <c r="K59" s="2416">
        <f t="shared" si="12"/>
        <v>4.660121784515968E-5</v>
      </c>
      <c r="L59" s="2173">
        <v>1.2944782734766599E-8</v>
      </c>
      <c r="M59" s="2174">
        <v>7.7668696408599497E-7</v>
      </c>
      <c r="N59" s="2175">
        <v>4.66012178451597E-5</v>
      </c>
      <c r="O59" s="1692">
        <f t="shared" si="13"/>
        <v>-1.6614180683478679E-15</v>
      </c>
      <c r="P59" s="1694">
        <f t="shared" si="14"/>
        <v>-4.0896444759332134E-16</v>
      </c>
      <c r="Q59" s="1695">
        <f t="shared" si="15"/>
        <v>-4.3622874409954276E-16</v>
      </c>
    </row>
    <row r="60" spans="3:17" ht="15.75" thickTop="1" x14ac:dyDescent="0.25">
      <c r="C60" s="1784">
        <v>499</v>
      </c>
      <c r="D60" s="1785" t="s">
        <v>36</v>
      </c>
      <c r="E60" s="1786">
        <f>C60*1000/3600</f>
        <v>138.61111111111111</v>
      </c>
      <c r="F60" s="1784">
        <v>1256</v>
      </c>
      <c r="G60" s="1785" t="s">
        <v>44</v>
      </c>
      <c r="H60" s="1837">
        <f>F60*0.9144</f>
        <v>1148.4864</v>
      </c>
      <c r="I60" s="2417">
        <f t="shared" si="10"/>
        <v>2.3015759519038077E-3</v>
      </c>
      <c r="J60" s="2418">
        <f t="shared" si="11"/>
        <v>0.13809455711422844</v>
      </c>
      <c r="K60" s="2419">
        <f t="shared" si="12"/>
        <v>8.2856734268537071</v>
      </c>
      <c r="L60" s="1835">
        <v>2.3015800000000001E-3</v>
      </c>
      <c r="M60" s="1836">
        <v>0.138095</v>
      </c>
      <c r="N60" s="1837">
        <v>8.2856699999999996</v>
      </c>
      <c r="O60" s="1793">
        <f t="shared" si="13"/>
        <v>-1.7588366741092525E-6</v>
      </c>
      <c r="P60" s="1794">
        <f t="shared" si="14"/>
        <v>-3.2071196780786667E-6</v>
      </c>
      <c r="Q60" s="1795">
        <f t="shared" si="15"/>
        <v>4.1358783178205912E-7</v>
      </c>
    </row>
    <row r="61" spans="3:17" x14ac:dyDescent="0.25">
      <c r="C61" s="1796">
        <v>60</v>
      </c>
      <c r="D61" s="1797" t="s">
        <v>37</v>
      </c>
      <c r="E61" s="1798">
        <f>C61/60</f>
        <v>1</v>
      </c>
      <c r="F61" s="1796">
        <v>15987</v>
      </c>
      <c r="G61" s="1797" t="s">
        <v>44</v>
      </c>
      <c r="H61" s="1800">
        <f>F61*0.9144</f>
        <v>14618.5128</v>
      </c>
      <c r="I61" s="2420">
        <f t="shared" si="10"/>
        <v>4.0606980000000004</v>
      </c>
      <c r="J61" s="1881">
        <f t="shared" si="11"/>
        <v>243.64188000000001</v>
      </c>
      <c r="K61" s="2378">
        <f t="shared" si="12"/>
        <v>14618.5128</v>
      </c>
      <c r="L61" s="1841">
        <v>4.0606999999999998</v>
      </c>
      <c r="M61" s="1842">
        <v>243.642</v>
      </c>
      <c r="N61" s="1800">
        <v>14618.5</v>
      </c>
      <c r="O61" s="1845">
        <f t="shared" si="13"/>
        <v>-4.9252616160851596E-7</v>
      </c>
      <c r="P61" s="1847">
        <f t="shared" si="14"/>
        <v>-4.9252616168142443E-7</v>
      </c>
      <c r="Q61" s="1848">
        <f t="shared" si="15"/>
        <v>8.7560206537732862E-7</v>
      </c>
    </row>
    <row r="62" spans="3:17" x14ac:dyDescent="0.25">
      <c r="C62" s="1796">
        <v>840</v>
      </c>
      <c r="D62" s="1797" t="s">
        <v>31</v>
      </c>
      <c r="E62" s="1798">
        <f>C62</f>
        <v>840</v>
      </c>
      <c r="F62" s="1796">
        <v>56895</v>
      </c>
      <c r="G62" s="1797" t="s">
        <v>44</v>
      </c>
      <c r="H62" s="1800">
        <f>F62*0.9144</f>
        <v>52024.788</v>
      </c>
      <c r="I62" s="2420">
        <f t="shared" si="10"/>
        <v>1.7203964285714284E-2</v>
      </c>
      <c r="J62" s="1881">
        <f t="shared" si="11"/>
        <v>1.0322378571428572</v>
      </c>
      <c r="K62" s="2421">
        <f t="shared" si="12"/>
        <v>61.934271428571428</v>
      </c>
      <c r="L62" s="1841">
        <v>1.7204000000000001E-2</v>
      </c>
      <c r="M62" s="1842">
        <v>1.03224</v>
      </c>
      <c r="N62" s="1800">
        <v>61.9343</v>
      </c>
      <c r="O62" s="1845">
        <f t="shared" si="13"/>
        <v>-2.0759334955118552E-6</v>
      </c>
      <c r="P62" s="1847">
        <f t="shared" si="14"/>
        <v>-2.0759334953774112E-6</v>
      </c>
      <c r="Q62" s="1848">
        <f t="shared" si="15"/>
        <v>-4.6131855454743453E-7</v>
      </c>
    </row>
    <row r="63" spans="3:17" ht="15.75" thickBot="1" x14ac:dyDescent="0.3">
      <c r="C63" s="1812">
        <v>560</v>
      </c>
      <c r="D63" s="1813" t="s">
        <v>38</v>
      </c>
      <c r="E63" s="1868">
        <f>C63*1609.4/3600</f>
        <v>250.35111111111112</v>
      </c>
      <c r="F63" s="1812">
        <v>56</v>
      </c>
      <c r="G63" s="1813" t="s">
        <v>44</v>
      </c>
      <c r="H63" s="1816">
        <f>F63*0.9144</f>
        <v>51.206400000000002</v>
      </c>
      <c r="I63" s="2422">
        <f t="shared" si="10"/>
        <v>5.681620479681869E-5</v>
      </c>
      <c r="J63" s="2423">
        <f t="shared" si="11"/>
        <v>3.4089722878091213E-3</v>
      </c>
      <c r="K63" s="2424">
        <f t="shared" si="12"/>
        <v>0.20453833726854728</v>
      </c>
      <c r="L63" s="2176">
        <v>5.6816204796818697E-5</v>
      </c>
      <c r="M63" s="1869">
        <v>3.4089699999999999E-3</v>
      </c>
      <c r="N63" s="1816">
        <v>0.204538</v>
      </c>
      <c r="O63" s="1924">
        <f t="shared" si="13"/>
        <v>-1.192663889161042E-16</v>
      </c>
      <c r="P63" s="1870">
        <f t="shared" si="14"/>
        <v>6.7111402741037685E-7</v>
      </c>
      <c r="Q63" s="1925">
        <f t="shared" si="15"/>
        <v>1.6489258287156659E-6</v>
      </c>
    </row>
    <row r="64" spans="3:17" ht="15.75" thickTop="1" x14ac:dyDescent="0.25">
      <c r="C64" s="1926">
        <v>1122</v>
      </c>
      <c r="D64" s="1927" t="s">
        <v>36</v>
      </c>
      <c r="E64" s="1928">
        <f>C64*1000/3600</f>
        <v>311.66666666666669</v>
      </c>
      <c r="F64" s="1926">
        <v>856</v>
      </c>
      <c r="G64" s="1927" t="s">
        <v>156</v>
      </c>
      <c r="H64" s="1968">
        <f>F64/1000000</f>
        <v>8.5599999999999999E-4</v>
      </c>
      <c r="I64" s="2381">
        <f t="shared" si="10"/>
        <v>7.6292335115864514E-10</v>
      </c>
      <c r="J64" s="2382">
        <f t="shared" si="11"/>
        <v>4.577540106951871E-8</v>
      </c>
      <c r="K64" s="2383">
        <f t="shared" si="12"/>
        <v>2.7465240641711226E-6</v>
      </c>
      <c r="L64" s="2129">
        <v>7.6292335115864504E-10</v>
      </c>
      <c r="M64" s="2130">
        <v>4.5775401069518697E-8</v>
      </c>
      <c r="N64" s="2131">
        <v>2.7465240641711201E-6</v>
      </c>
      <c r="O64" s="1935">
        <f t="shared" si="13"/>
        <v>1.3552813190486233E-16</v>
      </c>
      <c r="P64" s="1936">
        <f t="shared" si="14"/>
        <v>2.8912668139703961E-16</v>
      </c>
      <c r="Q64" s="1937">
        <f t="shared" si="15"/>
        <v>9.2520538047052688E-16</v>
      </c>
    </row>
    <row r="65" spans="3:32" x14ac:dyDescent="0.25">
      <c r="C65" s="1938">
        <v>630</v>
      </c>
      <c r="D65" s="1939" t="s">
        <v>37</v>
      </c>
      <c r="E65" s="1940">
        <f>C65/60</f>
        <v>10.5</v>
      </c>
      <c r="F65" s="1938">
        <v>9</v>
      </c>
      <c r="G65" s="1939" t="s">
        <v>156</v>
      </c>
      <c r="H65" s="1979">
        <f>F65/1000000</f>
        <v>9.0000000000000002E-6</v>
      </c>
      <c r="I65" s="2384">
        <f t="shared" si="10"/>
        <v>2.380952380952381E-10</v>
      </c>
      <c r="J65" s="2385">
        <f t="shared" si="11"/>
        <v>1.4285714285714286E-8</v>
      </c>
      <c r="K65" s="2386">
        <f t="shared" si="12"/>
        <v>8.5714285714285713E-7</v>
      </c>
      <c r="L65" s="2177">
        <v>2.38095238095238E-10</v>
      </c>
      <c r="M65" s="2178">
        <v>1.4285714285714299E-8</v>
      </c>
      <c r="N65" s="2179">
        <v>8.5714285714285703E-7</v>
      </c>
      <c r="O65" s="2001">
        <f t="shared" si="13"/>
        <v>4.3426982159033953E-16</v>
      </c>
      <c r="P65" s="2132">
        <f t="shared" si="14"/>
        <v>-9.26442286059391E-16</v>
      </c>
      <c r="Q65" s="2133">
        <f t="shared" si="15"/>
        <v>1.2352563814125214E-16</v>
      </c>
    </row>
    <row r="66" spans="3:32" x14ac:dyDescent="0.25">
      <c r="C66" s="1938">
        <v>42</v>
      </c>
      <c r="D66" s="1939" t="s">
        <v>31</v>
      </c>
      <c r="E66" s="1940">
        <f>C66</f>
        <v>42</v>
      </c>
      <c r="F66" s="1938">
        <v>1256</v>
      </c>
      <c r="G66" s="1939" t="s">
        <v>156</v>
      </c>
      <c r="H66" s="1979">
        <f>F66/1000000</f>
        <v>1.256E-3</v>
      </c>
      <c r="I66" s="2384">
        <f t="shared" si="10"/>
        <v>8.3068783068783067E-9</v>
      </c>
      <c r="J66" s="2385">
        <f t="shared" si="11"/>
        <v>4.9841269841269835E-7</v>
      </c>
      <c r="K66" s="2386">
        <f t="shared" si="12"/>
        <v>2.9904761904761904E-5</v>
      </c>
      <c r="L66" s="2177">
        <v>8.30687830687831E-9</v>
      </c>
      <c r="M66" s="2178">
        <v>4.9841269841269803E-7</v>
      </c>
      <c r="N66" s="2179">
        <v>2.99047619047619E-5</v>
      </c>
      <c r="O66" s="2001">
        <f t="shared" si="13"/>
        <v>-3.9831117394273183E-16</v>
      </c>
      <c r="P66" s="2132">
        <f t="shared" si="14"/>
        <v>6.3729787830837092E-16</v>
      </c>
      <c r="Q66" s="2133">
        <f t="shared" si="15"/>
        <v>1.1329740058815483E-16</v>
      </c>
    </row>
    <row r="67" spans="3:32" ht="15.75" thickBot="1" x14ac:dyDescent="0.3">
      <c r="C67" s="2124">
        <v>1450</v>
      </c>
      <c r="D67" s="2125" t="s">
        <v>38</v>
      </c>
      <c r="E67" s="2126">
        <f>C67*1609.4/3600</f>
        <v>648.23055555555561</v>
      </c>
      <c r="F67" s="2124">
        <v>56</v>
      </c>
      <c r="G67" s="2125" t="s">
        <v>156</v>
      </c>
      <c r="H67" s="1983">
        <f>F67/1000000</f>
        <v>5.5999999999999999E-5</v>
      </c>
      <c r="I67" s="2387">
        <f t="shared" si="10"/>
        <v>2.3996948959346597E-11</v>
      </c>
      <c r="J67" s="2388">
        <f t="shared" si="11"/>
        <v>1.4398169375607959E-9</v>
      </c>
      <c r="K67" s="2389">
        <f t="shared" si="12"/>
        <v>8.6389016253647747E-8</v>
      </c>
      <c r="L67" s="2180">
        <v>2.3996948959346601E-11</v>
      </c>
      <c r="M67" s="2181">
        <v>1.4398169375608E-9</v>
      </c>
      <c r="N67" s="2182">
        <v>8.6389016253647694E-8</v>
      </c>
      <c r="O67" s="1954">
        <f t="shared" si="13"/>
        <v>-1.3464937868806655E-16</v>
      </c>
      <c r="P67" s="1955">
        <f t="shared" si="14"/>
        <v>-2.872520078678753E-15</v>
      </c>
      <c r="Q67" s="1956">
        <f t="shared" si="15"/>
        <v>6.1280428345146736E-16</v>
      </c>
    </row>
    <row r="68" spans="3:32" ht="15.75" thickTop="1" x14ac:dyDescent="0.25"/>
    <row r="69" spans="3:32" ht="15.75" thickBot="1" x14ac:dyDescent="0.3"/>
    <row r="70" spans="3:32" ht="15.75" thickTop="1" x14ac:dyDescent="0.25">
      <c r="C70" s="2488" t="s">
        <v>0</v>
      </c>
      <c r="D70" s="2489"/>
      <c r="E70" s="2489"/>
      <c r="F70" s="2489"/>
      <c r="G70" s="2489"/>
      <c r="H70" s="2495"/>
      <c r="I70" s="2483" t="s">
        <v>158</v>
      </c>
      <c r="J70" s="2484"/>
      <c r="K70" s="2484"/>
      <c r="L70" s="2484"/>
      <c r="M70" s="2484"/>
      <c r="N70" s="2484"/>
      <c r="O70" s="2484"/>
      <c r="P70" s="2484"/>
      <c r="Q70" s="2488" t="s">
        <v>17</v>
      </c>
      <c r="R70" s="2489"/>
      <c r="S70" s="2489"/>
      <c r="T70" s="2489"/>
      <c r="U70" s="2489"/>
      <c r="V70" s="2489"/>
      <c r="W70" s="2489"/>
      <c r="X70" s="2495"/>
      <c r="Y70" s="2484" t="s">
        <v>8</v>
      </c>
      <c r="Z70" s="2484"/>
      <c r="AA70" s="2484"/>
      <c r="AB70" s="2484"/>
      <c r="AC70" s="2484"/>
      <c r="AD70" s="2484"/>
      <c r="AE70" s="2484"/>
      <c r="AF70" s="2485"/>
    </row>
    <row r="71" spans="3:32" ht="15.75" thickBot="1" x14ac:dyDescent="0.3">
      <c r="C71" s="2486" t="s">
        <v>2</v>
      </c>
      <c r="D71" s="2487"/>
      <c r="E71" s="2487"/>
      <c r="F71" s="2486" t="s">
        <v>29</v>
      </c>
      <c r="G71" s="2487"/>
      <c r="H71" s="2496"/>
      <c r="I71" s="2480" t="s">
        <v>148</v>
      </c>
      <c r="J71" s="2481"/>
      <c r="K71" s="2481"/>
      <c r="L71" s="2481"/>
      <c r="M71" s="2481"/>
      <c r="N71" s="2481"/>
      <c r="O71" s="2481"/>
      <c r="P71" s="2481"/>
      <c r="Q71" s="2486" t="s">
        <v>148</v>
      </c>
      <c r="R71" s="2487"/>
      <c r="S71" s="2487"/>
      <c r="T71" s="2487"/>
      <c r="U71" s="2487"/>
      <c r="V71" s="2487"/>
      <c r="W71" s="2487"/>
      <c r="X71" s="2487"/>
      <c r="Y71" s="2480" t="s">
        <v>148</v>
      </c>
      <c r="Z71" s="2481"/>
      <c r="AA71" s="2481"/>
      <c r="AB71" s="2481"/>
      <c r="AC71" s="2481"/>
      <c r="AD71" s="2481"/>
      <c r="AE71" s="2481"/>
      <c r="AF71" s="2482"/>
    </row>
    <row r="72" spans="3:32" ht="15.75" thickBot="1" x14ac:dyDescent="0.3">
      <c r="C72" s="57" t="s">
        <v>3</v>
      </c>
      <c r="D72" s="65" t="s">
        <v>4</v>
      </c>
      <c r="E72" s="50" t="s">
        <v>15</v>
      </c>
      <c r="F72" s="14" t="s">
        <v>3</v>
      </c>
      <c r="G72" s="65" t="s">
        <v>4</v>
      </c>
      <c r="H72" s="52" t="s">
        <v>31</v>
      </c>
      <c r="I72" s="86" t="s">
        <v>39</v>
      </c>
      <c r="J72" s="87" t="s">
        <v>40</v>
      </c>
      <c r="K72" s="87" t="s">
        <v>41</v>
      </c>
      <c r="L72" s="87" t="s">
        <v>42</v>
      </c>
      <c r="M72" s="87" t="s">
        <v>46</v>
      </c>
      <c r="N72" s="87" t="s">
        <v>43</v>
      </c>
      <c r="O72" s="87" t="s">
        <v>44</v>
      </c>
      <c r="P72" s="89" t="s">
        <v>156</v>
      </c>
      <c r="Q72" s="82" t="s">
        <v>39</v>
      </c>
      <c r="R72" s="83" t="s">
        <v>40</v>
      </c>
      <c r="S72" s="83" t="s">
        <v>41</v>
      </c>
      <c r="T72" s="83" t="s">
        <v>42</v>
      </c>
      <c r="U72" s="83" t="s">
        <v>46</v>
      </c>
      <c r="V72" s="83" t="s">
        <v>43</v>
      </c>
      <c r="W72" s="83" t="s">
        <v>44</v>
      </c>
      <c r="X72" s="85" t="s">
        <v>156</v>
      </c>
      <c r="Y72" s="89" t="s">
        <v>39</v>
      </c>
      <c r="Z72" s="87" t="s">
        <v>40</v>
      </c>
      <c r="AA72" s="87" t="s">
        <v>41</v>
      </c>
      <c r="AB72" s="87" t="s">
        <v>42</v>
      </c>
      <c r="AC72" s="87" t="s">
        <v>46</v>
      </c>
      <c r="AD72" s="87" t="s">
        <v>43</v>
      </c>
      <c r="AE72" s="87" t="s">
        <v>44</v>
      </c>
      <c r="AF72" s="88" t="s">
        <v>156</v>
      </c>
    </row>
    <row r="73" spans="3:32" ht="15.75" thickTop="1" x14ac:dyDescent="0.25">
      <c r="C73" s="1108">
        <v>56</v>
      </c>
      <c r="D73" s="964" t="s">
        <v>13</v>
      </c>
      <c r="E73" s="965">
        <f>C73*3600</f>
        <v>201600</v>
      </c>
      <c r="F73" s="966">
        <v>6555</v>
      </c>
      <c r="G73" s="964" t="s">
        <v>36</v>
      </c>
      <c r="H73" s="967">
        <f>F73*1000/3600</f>
        <v>1820.8333333333333</v>
      </c>
      <c r="I73" s="971">
        <f>L73*100</f>
        <v>36708000000</v>
      </c>
      <c r="J73" s="969">
        <f>L73/0.3048</f>
        <v>1204330708.6614172</v>
      </c>
      <c r="K73" s="969">
        <f>L73*100/2.54</f>
        <v>14451968503.937008</v>
      </c>
      <c r="L73" s="969">
        <f>H73*E73</f>
        <v>367080000</v>
      </c>
      <c r="M73" s="969">
        <f>L73/63360/2.54*100</f>
        <v>228092.93724648055</v>
      </c>
      <c r="N73" s="969">
        <f>L73*1000</f>
        <v>367080000000</v>
      </c>
      <c r="O73" s="969">
        <f>L73/0.9144</f>
        <v>401443569.55380577</v>
      </c>
      <c r="P73" s="2122">
        <f>L73*1000000</f>
        <v>367080000000000</v>
      </c>
      <c r="Q73" s="971">
        <v>36708000000</v>
      </c>
      <c r="R73" s="969">
        <v>1204330709</v>
      </c>
      <c r="S73" s="969">
        <v>14451968504</v>
      </c>
      <c r="T73" s="969">
        <v>367080000</v>
      </c>
      <c r="U73" s="969">
        <v>228093</v>
      </c>
      <c r="V73" s="969">
        <v>367080000000</v>
      </c>
      <c r="W73" s="969">
        <v>401443570</v>
      </c>
      <c r="X73" s="2123">
        <v>367080000000000</v>
      </c>
      <c r="Y73" s="1104">
        <f xml:space="preserve"> (I73-Q73)/I73</f>
        <v>0</v>
      </c>
      <c r="Z73" s="886">
        <f t="shared" ref="Z73:AF73" si="16" xml:space="preserve"> (J73-R73)/J73</f>
        <v>-2.8113769058621605E-10</v>
      </c>
      <c r="AA73" s="886">
        <f t="shared" si="16"/>
        <v>-4.3587208157909634E-12</v>
      </c>
      <c r="AB73" s="886">
        <f t="shared" si="16"/>
        <v>0</v>
      </c>
      <c r="AC73" s="886">
        <f t="shared" si="16"/>
        <v>-2.7512258910045791E-7</v>
      </c>
      <c r="AD73" s="886">
        <f t="shared" si="16"/>
        <v>0</v>
      </c>
      <c r="AE73" s="886">
        <f t="shared" si="16"/>
        <v>-1.1114743524378678E-9</v>
      </c>
      <c r="AF73" s="887">
        <f t="shared" si="16"/>
        <v>0</v>
      </c>
    </row>
    <row r="74" spans="3:32" x14ac:dyDescent="0.25">
      <c r="C74" s="71">
        <v>890</v>
      </c>
      <c r="D74" s="59" t="s">
        <v>14</v>
      </c>
      <c r="E74" s="32">
        <f>C74*60</f>
        <v>53400</v>
      </c>
      <c r="F74" s="972">
        <v>2300</v>
      </c>
      <c r="G74" s="59" t="s">
        <v>36</v>
      </c>
      <c r="H74" s="889">
        <f>F74*1000/3600</f>
        <v>638.88888888888891</v>
      </c>
      <c r="I74" s="888">
        <f t="shared" ref="I74:I84" si="17">L74*100</f>
        <v>3411666666.666667</v>
      </c>
      <c r="J74" s="903">
        <f t="shared" ref="J74:J84" si="18">L74/0.3048</f>
        <v>111931321.08486441</v>
      </c>
      <c r="K74" s="903">
        <f t="shared" ref="K74:K84" si="19">L74*100/2.54</f>
        <v>1343175853.0183728</v>
      </c>
      <c r="L74" s="903">
        <f t="shared" ref="L74:L84" si="20">H74*E74</f>
        <v>34116666.666666672</v>
      </c>
      <c r="M74" s="903">
        <f t="shared" ref="M74:M84" si="21">L74/63360/2.54*100</f>
        <v>21199.113841830382</v>
      </c>
      <c r="N74" s="903">
        <f t="shared" ref="N74:N84" si="22">L74*1000</f>
        <v>34116666666.666672</v>
      </c>
      <c r="O74" s="903">
        <f t="shared" ref="O74:O84" si="23">L74/0.9144</f>
        <v>37310440.361621469</v>
      </c>
      <c r="P74" s="927">
        <f t="shared" ref="P74:P84" si="24">L74*1000000</f>
        <v>34116666666666.672</v>
      </c>
      <c r="Q74" s="1059">
        <v>3411666667</v>
      </c>
      <c r="R74" s="1060">
        <v>111931321</v>
      </c>
      <c r="S74" s="1060">
        <v>1343175853</v>
      </c>
      <c r="T74" s="1060">
        <v>34116667</v>
      </c>
      <c r="U74" s="1060">
        <v>21199.1</v>
      </c>
      <c r="V74" s="1060">
        <v>34116666667</v>
      </c>
      <c r="W74" s="1060">
        <v>37310440</v>
      </c>
      <c r="X74" s="1118">
        <v>34116700000000</v>
      </c>
      <c r="Y74" s="1115">
        <f t="shared" ref="Y74:Y81" si="25" xml:space="preserve"> (I74-Q74)/I74</f>
        <v>-9.7703863832504499E-11</v>
      </c>
      <c r="Z74" s="898">
        <f t="shared" ref="Z74:Z81" si="26" xml:space="preserve"> (J74-R74)/J74</f>
        <v>7.5818284779685142E-10</v>
      </c>
      <c r="AA74" s="898">
        <f t="shared" ref="AA74:AA81" si="27" xml:space="preserve"> (K74-S74)/K74</f>
        <v>1.367860662686749E-11</v>
      </c>
      <c r="AB74" s="898">
        <f t="shared" ref="AB74:AB81" si="28" xml:space="preserve"> (L74-T74)/L74</f>
        <v>-9.770395555435649E-9</v>
      </c>
      <c r="AC74" s="898">
        <f t="shared" ref="AC74:AC81" si="29" xml:space="preserve"> (M74-U74)/M74</f>
        <v>6.5294382050340413E-7</v>
      </c>
      <c r="AD74" s="898">
        <f t="shared" ref="AD74:AD81" si="30" xml:space="preserve"> (N74-V74)/N74</f>
        <v>-9.7702466166188315E-12</v>
      </c>
      <c r="AE74" s="898">
        <f t="shared" ref="AE74:AE81" si="31" xml:space="preserve"> (O74-W74)/O74</f>
        <v>9.6922326768149246E-9</v>
      </c>
      <c r="AF74" s="899">
        <f t="shared" ref="AF74:AF81" si="32" xml:space="preserve"> (P74-X74)/P74</f>
        <v>-9.7703956994992648E-7</v>
      </c>
    </row>
    <row r="75" spans="3:32" ht="15.75" thickBot="1" x14ac:dyDescent="0.3">
      <c r="C75" s="952">
        <v>236</v>
      </c>
      <c r="D75" s="953" t="s">
        <v>15</v>
      </c>
      <c r="E75" s="1065">
        <f>C75</f>
        <v>236</v>
      </c>
      <c r="F75" s="976">
        <v>760</v>
      </c>
      <c r="G75" s="953" t="s">
        <v>36</v>
      </c>
      <c r="H75" s="954">
        <f>F75*1000/3600</f>
        <v>211.11111111111111</v>
      </c>
      <c r="I75" s="955">
        <f t="shared" si="17"/>
        <v>4982222.2222222229</v>
      </c>
      <c r="J75" s="956">
        <f t="shared" si="18"/>
        <v>163458.73432487607</v>
      </c>
      <c r="K75" s="956">
        <f t="shared" si="19"/>
        <v>1961504.811898513</v>
      </c>
      <c r="L75" s="956">
        <f t="shared" si="20"/>
        <v>49822.222222222226</v>
      </c>
      <c r="M75" s="1178">
        <f t="shared" si="21"/>
        <v>30.958093622135618</v>
      </c>
      <c r="N75" s="956">
        <f t="shared" si="22"/>
        <v>49822222.222222224</v>
      </c>
      <c r="O75" s="956">
        <f t="shared" si="23"/>
        <v>54486.244774958694</v>
      </c>
      <c r="P75" s="1180">
        <f t="shared" si="24"/>
        <v>49822222222.222229</v>
      </c>
      <c r="Q75" s="1064">
        <v>4982222</v>
      </c>
      <c r="R75" s="1066">
        <v>163459</v>
      </c>
      <c r="S75" s="1066">
        <v>1961505</v>
      </c>
      <c r="T75" s="1066">
        <v>49822.2</v>
      </c>
      <c r="U75" s="1066">
        <v>30.958100000000002</v>
      </c>
      <c r="V75" s="1066">
        <v>49822222</v>
      </c>
      <c r="W75" s="1066">
        <v>54486.2</v>
      </c>
      <c r="X75" s="954">
        <v>49822222222</v>
      </c>
      <c r="Y75" s="1116">
        <f t="shared" si="25"/>
        <v>4.460303315163376E-8</v>
      </c>
      <c r="Z75" s="912">
        <f t="shared" si="26"/>
        <v>-1.6253345226474877E-6</v>
      </c>
      <c r="AA75" s="912">
        <f t="shared" si="27"/>
        <v>-9.5896520804016466E-8</v>
      </c>
      <c r="AB75" s="912">
        <f t="shared" si="28"/>
        <v>4.4603033020199201E-7</v>
      </c>
      <c r="AC75" s="912">
        <f t="shared" si="29"/>
        <v>-2.060160571262343E-7</v>
      </c>
      <c r="AD75" s="912">
        <f t="shared" si="30"/>
        <v>4.4603033338562913E-9</v>
      </c>
      <c r="AE75" s="912">
        <f t="shared" si="31"/>
        <v>8.217662803050337E-7</v>
      </c>
      <c r="AF75" s="913">
        <f t="shared" si="32"/>
        <v>4.4604394182788796E-12</v>
      </c>
    </row>
    <row r="76" spans="3:32" ht="15.75" thickTop="1" x14ac:dyDescent="0.25">
      <c r="C76" s="1332">
        <v>1200</v>
      </c>
      <c r="D76" s="1333" t="s">
        <v>13</v>
      </c>
      <c r="E76" s="1334">
        <f>C76*3600</f>
        <v>4320000</v>
      </c>
      <c r="F76" s="1335">
        <v>890</v>
      </c>
      <c r="G76" s="1333" t="s">
        <v>37</v>
      </c>
      <c r="H76" s="1370">
        <f>F76/60</f>
        <v>14.833333333333334</v>
      </c>
      <c r="I76" s="1371">
        <f t="shared" si="17"/>
        <v>6408000000</v>
      </c>
      <c r="J76" s="1537">
        <f t="shared" si="18"/>
        <v>210236220.47244093</v>
      </c>
      <c r="K76" s="1537">
        <f t="shared" si="19"/>
        <v>2522834645.6692915</v>
      </c>
      <c r="L76" s="1537">
        <f t="shared" si="20"/>
        <v>64080000</v>
      </c>
      <c r="M76" s="1537">
        <f t="shared" si="21"/>
        <v>39817.465998568361</v>
      </c>
      <c r="N76" s="1537">
        <f t="shared" si="22"/>
        <v>64080000000</v>
      </c>
      <c r="O76" s="1537">
        <f t="shared" si="23"/>
        <v>70078740.157480314</v>
      </c>
      <c r="P76" s="1428">
        <f t="shared" si="24"/>
        <v>64080000000000</v>
      </c>
      <c r="Q76" s="1431">
        <v>6408000000</v>
      </c>
      <c r="R76" s="1442">
        <v>210236220</v>
      </c>
      <c r="S76" s="1442">
        <v>2522834646</v>
      </c>
      <c r="T76" s="1442">
        <v>64080000</v>
      </c>
      <c r="U76" s="1442">
        <v>39817.5</v>
      </c>
      <c r="V76" s="1442">
        <v>64080000000</v>
      </c>
      <c r="W76" s="1442">
        <v>70078740</v>
      </c>
      <c r="X76" s="1503">
        <v>64080000000000</v>
      </c>
      <c r="Y76" s="1432">
        <f t="shared" si="25"/>
        <v>0</v>
      </c>
      <c r="Z76" s="1266">
        <f t="shared" si="26"/>
        <v>2.2471909319863338E-9</v>
      </c>
      <c r="AA76" s="1266">
        <f t="shared" si="27"/>
        <v>-1.3108607981535379E-10</v>
      </c>
      <c r="AB76" s="1266">
        <f t="shared" si="28"/>
        <v>0</v>
      </c>
      <c r="AC76" s="1266">
        <f t="shared" si="29"/>
        <v>-8.5393258426142224E-7</v>
      </c>
      <c r="AD76" s="1266">
        <f t="shared" si="30"/>
        <v>0</v>
      </c>
      <c r="AE76" s="1266">
        <f t="shared" si="31"/>
        <v>2.247191002864516E-9</v>
      </c>
      <c r="AF76" s="1267">
        <f t="shared" si="32"/>
        <v>0</v>
      </c>
    </row>
    <row r="77" spans="3:32" x14ac:dyDescent="0.25">
      <c r="C77" s="1268">
        <v>340</v>
      </c>
      <c r="D77" s="1269" t="s">
        <v>14</v>
      </c>
      <c r="E77" s="1254">
        <f>C77*60</f>
        <v>20400</v>
      </c>
      <c r="F77" s="1344">
        <v>655</v>
      </c>
      <c r="G77" s="1269" t="s">
        <v>37</v>
      </c>
      <c r="H77" s="1270">
        <f>F77/60</f>
        <v>10.916666666666666</v>
      </c>
      <c r="I77" s="1280">
        <f t="shared" si="17"/>
        <v>22270000</v>
      </c>
      <c r="J77" s="1276">
        <f t="shared" si="18"/>
        <v>730643.04461942252</v>
      </c>
      <c r="K77" s="1276">
        <f t="shared" si="19"/>
        <v>8767716.5354330707</v>
      </c>
      <c r="L77" s="1276">
        <f t="shared" si="20"/>
        <v>222700</v>
      </c>
      <c r="M77" s="1273">
        <f t="shared" si="21"/>
        <v>138.37936451125427</v>
      </c>
      <c r="N77" s="1276">
        <f t="shared" si="22"/>
        <v>222700000</v>
      </c>
      <c r="O77" s="1276">
        <f t="shared" si="23"/>
        <v>243547.68153980753</v>
      </c>
      <c r="P77" s="1275">
        <f t="shared" si="24"/>
        <v>222700000000</v>
      </c>
      <c r="Q77" s="1435">
        <v>22270000</v>
      </c>
      <c r="R77" s="1446">
        <v>730643</v>
      </c>
      <c r="S77" s="1446">
        <v>8767717</v>
      </c>
      <c r="T77" s="1446">
        <v>222700</v>
      </c>
      <c r="U77" s="1446">
        <v>138.37899999999999</v>
      </c>
      <c r="V77" s="1446">
        <v>222700000</v>
      </c>
      <c r="W77" s="1446">
        <v>243548</v>
      </c>
      <c r="X77" s="1500">
        <v>222700000000</v>
      </c>
      <c r="Y77" s="1498">
        <f t="shared" si="25"/>
        <v>0</v>
      </c>
      <c r="Z77" s="1278">
        <f t="shared" si="26"/>
        <v>6.1068702221910383E-8</v>
      </c>
      <c r="AA77" s="1278">
        <f t="shared" si="27"/>
        <v>-5.2986079943209526E-8</v>
      </c>
      <c r="AB77" s="1278">
        <f t="shared" si="28"/>
        <v>0</v>
      </c>
      <c r="AC77" s="1278">
        <f t="shared" si="29"/>
        <v>2.6341445891375444E-6</v>
      </c>
      <c r="AD77" s="1278">
        <f t="shared" si="30"/>
        <v>0</v>
      </c>
      <c r="AE77" s="1278">
        <f t="shared" si="31"/>
        <v>-1.3075886843171929E-6</v>
      </c>
      <c r="AF77" s="1279">
        <f t="shared" si="32"/>
        <v>0</v>
      </c>
    </row>
    <row r="78" spans="3:32" ht="15.75" thickBot="1" x14ac:dyDescent="0.3">
      <c r="C78" s="1347">
        <v>50</v>
      </c>
      <c r="D78" s="1348" t="s">
        <v>15</v>
      </c>
      <c r="E78" s="1351">
        <f>C78</f>
        <v>50</v>
      </c>
      <c r="F78" s="1350">
        <v>433</v>
      </c>
      <c r="G78" s="1348" t="s">
        <v>37</v>
      </c>
      <c r="H78" s="1375">
        <f>F78/60</f>
        <v>7.2166666666666668</v>
      </c>
      <c r="I78" s="1557">
        <f t="shared" si="17"/>
        <v>36083.333333333328</v>
      </c>
      <c r="J78" s="1558">
        <f t="shared" si="18"/>
        <v>1183.8363954505685</v>
      </c>
      <c r="K78" s="1558">
        <f t="shared" si="19"/>
        <v>14206.036745406822</v>
      </c>
      <c r="L78" s="1558">
        <f t="shared" si="20"/>
        <v>360.83333333333331</v>
      </c>
      <c r="M78" s="1558">
        <f t="shared" si="21"/>
        <v>0.22421143853230463</v>
      </c>
      <c r="N78" s="1377">
        <f t="shared" si="22"/>
        <v>360833.33333333331</v>
      </c>
      <c r="O78" s="1377">
        <f t="shared" si="23"/>
        <v>394.61213181685622</v>
      </c>
      <c r="P78" s="1439">
        <f t="shared" si="24"/>
        <v>360833333.33333331</v>
      </c>
      <c r="Q78" s="1440">
        <v>36083.300000000003</v>
      </c>
      <c r="R78" s="1451">
        <v>1183.8399999999999</v>
      </c>
      <c r="S78" s="1451">
        <v>14206</v>
      </c>
      <c r="T78" s="1451">
        <v>360.83300000000003</v>
      </c>
      <c r="U78" s="1451">
        <v>0.22421099999999999</v>
      </c>
      <c r="V78" s="1451">
        <v>360833</v>
      </c>
      <c r="W78" s="1451">
        <v>394.61200000000002</v>
      </c>
      <c r="X78" s="1375">
        <v>360833333</v>
      </c>
      <c r="Y78" s="1493">
        <f t="shared" si="25"/>
        <v>9.2378752865327439E-7</v>
      </c>
      <c r="Z78" s="1297">
        <f t="shared" si="26"/>
        <v>-3.0448036952416149E-6</v>
      </c>
      <c r="AA78" s="1297">
        <f t="shared" si="27"/>
        <v>2.5866050806707668E-6</v>
      </c>
      <c r="AB78" s="1297">
        <f t="shared" si="28"/>
        <v>9.2378752874149319E-7</v>
      </c>
      <c r="AC78" s="1297">
        <f t="shared" si="29"/>
        <v>1.955887297753203E-6</v>
      </c>
      <c r="AD78" s="1297">
        <f t="shared" si="30"/>
        <v>9.2378752881458885E-7</v>
      </c>
      <c r="AE78" s="1297">
        <f t="shared" si="31"/>
        <v>3.3404157036343359E-7</v>
      </c>
      <c r="AF78" s="1298">
        <f t="shared" si="32"/>
        <v>9.2378747380633277E-10</v>
      </c>
    </row>
    <row r="79" spans="3:32" ht="15.75" thickTop="1" x14ac:dyDescent="0.25">
      <c r="C79" s="92">
        <v>560</v>
      </c>
      <c r="D79" s="61" t="s">
        <v>13</v>
      </c>
      <c r="E79" s="45">
        <f>C79*3600</f>
        <v>2016000</v>
      </c>
      <c r="F79" s="107">
        <v>4</v>
      </c>
      <c r="G79" s="61" t="s">
        <v>31</v>
      </c>
      <c r="H79" s="48">
        <f>F79</f>
        <v>4</v>
      </c>
      <c r="I79" s="44">
        <f t="shared" si="17"/>
        <v>806400000</v>
      </c>
      <c r="J79" s="512">
        <f t="shared" si="18"/>
        <v>26456692.913385827</v>
      </c>
      <c r="K79" s="512">
        <f t="shared" si="19"/>
        <v>317480314.96062994</v>
      </c>
      <c r="L79" s="512">
        <f t="shared" si="20"/>
        <v>8064000</v>
      </c>
      <c r="M79" s="512">
        <f t="shared" si="21"/>
        <v>5010.737294201861</v>
      </c>
      <c r="N79" s="512">
        <f t="shared" si="22"/>
        <v>8064000000</v>
      </c>
      <c r="O79" s="512">
        <f t="shared" si="23"/>
        <v>8818897.6377952751</v>
      </c>
      <c r="P79" s="46">
        <f t="shared" si="24"/>
        <v>8064000000000</v>
      </c>
      <c r="Q79" s="313">
        <v>806400000</v>
      </c>
      <c r="R79" s="314">
        <v>26456693</v>
      </c>
      <c r="S79" s="314">
        <v>317480315</v>
      </c>
      <c r="T79" s="314">
        <v>8064000</v>
      </c>
      <c r="U79" s="314">
        <v>5010.74</v>
      </c>
      <c r="V79" s="314">
        <v>8064000000</v>
      </c>
      <c r="W79" s="314">
        <v>8818898</v>
      </c>
      <c r="X79" s="2186">
        <v>8064000000000</v>
      </c>
      <c r="Y79" s="299">
        <f t="shared" si="25"/>
        <v>0</v>
      </c>
      <c r="Z79" s="191">
        <f t="shared" si="26"/>
        <v>-3.2738095116136329E-9</v>
      </c>
      <c r="AA79" s="191">
        <f t="shared" si="27"/>
        <v>-1.2400787737634446E-10</v>
      </c>
      <c r="AB79" s="191">
        <f t="shared" si="28"/>
        <v>0</v>
      </c>
      <c r="AC79" s="191">
        <f t="shared" si="29"/>
        <v>-5.3999999998164386E-7</v>
      </c>
      <c r="AD79" s="191">
        <f t="shared" si="30"/>
        <v>0</v>
      </c>
      <c r="AE79" s="191">
        <f t="shared" si="31"/>
        <v>-4.1071428629636232E-8</v>
      </c>
      <c r="AF79" s="192">
        <f t="shared" si="32"/>
        <v>0</v>
      </c>
    </row>
    <row r="80" spans="3:32" x14ac:dyDescent="0.25">
      <c r="C80" s="72">
        <v>3455</v>
      </c>
      <c r="D80" s="62" t="s">
        <v>14</v>
      </c>
      <c r="E80" s="34">
        <f>C80*60</f>
        <v>207300</v>
      </c>
      <c r="F80" s="108">
        <v>566</v>
      </c>
      <c r="G80" s="62" t="s">
        <v>31</v>
      </c>
      <c r="H80" s="35">
        <f>F80</f>
        <v>566</v>
      </c>
      <c r="I80" s="33">
        <f t="shared" si="17"/>
        <v>11733180000</v>
      </c>
      <c r="J80" s="154">
        <f t="shared" si="18"/>
        <v>384946850.39370078</v>
      </c>
      <c r="K80" s="154">
        <f t="shared" si="19"/>
        <v>4619362204.7244091</v>
      </c>
      <c r="L80" s="154">
        <f t="shared" si="20"/>
        <v>117331800</v>
      </c>
      <c r="M80" s="154">
        <f t="shared" si="21"/>
        <v>72906.60045335241</v>
      </c>
      <c r="N80" s="154">
        <f t="shared" si="22"/>
        <v>117331800000</v>
      </c>
      <c r="O80" s="154">
        <f t="shared" si="23"/>
        <v>128315616.79790026</v>
      </c>
      <c r="P80" s="36">
        <f t="shared" si="24"/>
        <v>117331800000000</v>
      </c>
      <c r="Q80" s="310">
        <v>11733180000</v>
      </c>
      <c r="R80" s="117">
        <v>384946850</v>
      </c>
      <c r="S80" s="117">
        <v>4619362205</v>
      </c>
      <c r="T80" s="117">
        <v>117331800</v>
      </c>
      <c r="U80" s="117">
        <v>72906.600000000006</v>
      </c>
      <c r="V80" s="739">
        <v>117332000000</v>
      </c>
      <c r="W80" s="117">
        <v>128315617</v>
      </c>
      <c r="X80" s="722">
        <v>117332000000000</v>
      </c>
      <c r="Y80" s="334">
        <f t="shared" si="25"/>
        <v>0</v>
      </c>
      <c r="Z80" s="156">
        <f t="shared" si="26"/>
        <v>1.0227406149230489E-9</v>
      </c>
      <c r="AA80" s="156">
        <f t="shared" si="27"/>
        <v>-5.9659945332839957E-11</v>
      </c>
      <c r="AB80" s="156">
        <f t="shared" si="28"/>
        <v>0</v>
      </c>
      <c r="AC80" s="156">
        <f t="shared" si="29"/>
        <v>6.2182628386676712E-9</v>
      </c>
      <c r="AD80" s="156">
        <f t="shared" si="30"/>
        <v>-1.7045677301464736E-6</v>
      </c>
      <c r="AE80" s="156">
        <f t="shared" si="31"/>
        <v>-1.5750206058201766E-9</v>
      </c>
      <c r="AF80" s="157">
        <f t="shared" si="32"/>
        <v>-1.7045677301464736E-6</v>
      </c>
    </row>
    <row r="81" spans="3:32" ht="15.75" thickBot="1" x14ac:dyDescent="0.3">
      <c r="C81" s="141">
        <v>222</v>
      </c>
      <c r="D81" s="290" t="s">
        <v>15</v>
      </c>
      <c r="E81" s="294">
        <f>C81</f>
        <v>222</v>
      </c>
      <c r="F81" s="701">
        <v>2333</v>
      </c>
      <c r="G81" s="290" t="s">
        <v>31</v>
      </c>
      <c r="H81" s="291">
        <f>F81</f>
        <v>2333</v>
      </c>
      <c r="I81" s="2134">
        <f t="shared" si="17"/>
        <v>51792600</v>
      </c>
      <c r="J81" s="732">
        <f t="shared" si="18"/>
        <v>1699232.2834645668</v>
      </c>
      <c r="K81" s="732">
        <f t="shared" si="19"/>
        <v>20390787.401574802</v>
      </c>
      <c r="L81" s="732">
        <f t="shared" si="20"/>
        <v>517926</v>
      </c>
      <c r="M81" s="730">
        <f t="shared" si="21"/>
        <v>321.82429611071342</v>
      </c>
      <c r="N81" s="732">
        <f t="shared" si="22"/>
        <v>517926000</v>
      </c>
      <c r="O81" s="732">
        <f t="shared" si="23"/>
        <v>566410.7611548556</v>
      </c>
      <c r="P81" s="733">
        <f t="shared" si="24"/>
        <v>517926000000</v>
      </c>
      <c r="Q81" s="316">
        <v>51792600</v>
      </c>
      <c r="R81" s="317">
        <v>1699232</v>
      </c>
      <c r="S81" s="317">
        <v>20390787</v>
      </c>
      <c r="T81" s="317">
        <v>517926</v>
      </c>
      <c r="U81" s="317">
        <v>321.82400000000001</v>
      </c>
      <c r="V81" s="317">
        <v>517926000</v>
      </c>
      <c r="W81" s="317">
        <v>566411</v>
      </c>
      <c r="X81" s="2187">
        <v>517926000000</v>
      </c>
      <c r="Y81" s="735">
        <f t="shared" si="25"/>
        <v>0</v>
      </c>
      <c r="Z81" s="163">
        <f t="shared" si="26"/>
        <v>1.668191980360168E-7</v>
      </c>
      <c r="AA81" s="163">
        <f t="shared" si="27"/>
        <v>1.9693933036769809E-8</v>
      </c>
      <c r="AB81" s="163">
        <f t="shared" si="28"/>
        <v>0</v>
      </c>
      <c r="AC81" s="163">
        <f t="shared" si="29"/>
        <v>9.201005548229125E-7</v>
      </c>
      <c r="AD81" s="163">
        <f t="shared" si="30"/>
        <v>0</v>
      </c>
      <c r="AE81" s="163">
        <f t="shared" si="31"/>
        <v>-4.2168186196097119E-7</v>
      </c>
      <c r="AF81" s="164">
        <f t="shared" si="32"/>
        <v>0</v>
      </c>
    </row>
    <row r="82" spans="3:32" ht="15.75" thickTop="1" x14ac:dyDescent="0.25">
      <c r="C82" s="382">
        <v>667</v>
      </c>
      <c r="D82" s="383" t="s">
        <v>13</v>
      </c>
      <c r="E82" s="384">
        <f>C82*3600</f>
        <v>2401200</v>
      </c>
      <c r="F82" s="434">
        <v>78</v>
      </c>
      <c r="G82" s="383" t="s">
        <v>38</v>
      </c>
      <c r="H82" s="390">
        <f>F82*1609.4/3600</f>
        <v>34.870333333333335</v>
      </c>
      <c r="I82" s="386">
        <f t="shared" si="17"/>
        <v>8373064440.000001</v>
      </c>
      <c r="J82" s="848">
        <f t="shared" si="18"/>
        <v>274706838.58267719</v>
      </c>
      <c r="K82" s="848">
        <f t="shared" si="19"/>
        <v>3296482062.9921265</v>
      </c>
      <c r="L82" s="848">
        <f t="shared" si="20"/>
        <v>83730644.400000006</v>
      </c>
      <c r="M82" s="849">
        <f t="shared" si="21"/>
        <v>52027.810337628252</v>
      </c>
      <c r="N82" s="848">
        <f t="shared" si="22"/>
        <v>83730644400</v>
      </c>
      <c r="O82" s="848">
        <f t="shared" si="23"/>
        <v>91568946.194225729</v>
      </c>
      <c r="P82" s="393">
        <f t="shared" si="24"/>
        <v>83730644400000</v>
      </c>
      <c r="Q82" s="420">
        <v>8373064440</v>
      </c>
      <c r="R82" s="421">
        <v>274706839</v>
      </c>
      <c r="S82" s="421">
        <v>3296482063</v>
      </c>
      <c r="T82" s="421">
        <v>83730644</v>
      </c>
      <c r="U82" s="421">
        <v>52027.8</v>
      </c>
      <c r="V82" s="421">
        <v>83730644400</v>
      </c>
      <c r="W82" s="421">
        <v>91568946</v>
      </c>
      <c r="X82" s="2188">
        <v>83730600000000</v>
      </c>
      <c r="Y82" s="628">
        <f t="shared" ref="Y82:Y84" si="33" xml:space="preserve"> (I82-Q82)/I82</f>
        <v>1.1389788329471521E-16</v>
      </c>
      <c r="Z82" s="211">
        <f t="shared" ref="Z82:Z84" si="34" xml:space="preserve"> (J82-R82)/J82</f>
        <v>-1.5191569915685571E-9</v>
      </c>
      <c r="AA82" s="211">
        <f t="shared" ref="AA82:AA84" si="35" xml:space="preserve"> (K82-S82)/K82</f>
        <v>-2.3884659481821683E-12</v>
      </c>
      <c r="AB82" s="211">
        <f t="shared" ref="AB82:AB84" si="36" xml:space="preserve"> (L82-T82)/L82</f>
        <v>4.7772235461317491E-9</v>
      </c>
      <c r="AC82" s="211">
        <f t="shared" ref="AC82:AC84" si="37" xml:space="preserve"> (M82-U82)/M82</f>
        <v>1.9869427874169312E-7</v>
      </c>
      <c r="AD82" s="211">
        <f t="shared" ref="AD82:AD84" si="38" xml:space="preserve"> (N82-V82)/N82</f>
        <v>0</v>
      </c>
      <c r="AE82" s="211">
        <f t="shared" ref="AE82:AE84" si="39" xml:space="preserve"> (O82-W82)/O82</f>
        <v>2.1210872963399687E-9</v>
      </c>
      <c r="AF82" s="212">
        <f t="shared" ref="AF82:AF84" si="40" xml:space="preserve"> (P82-X82)/P82</f>
        <v>5.3027180571895853E-7</v>
      </c>
    </row>
    <row r="83" spans="3:32" x14ac:dyDescent="0.25">
      <c r="C83" s="213">
        <v>333</v>
      </c>
      <c r="D83" s="214" t="s">
        <v>14</v>
      </c>
      <c r="E83" s="215">
        <f>C83*60</f>
        <v>19980</v>
      </c>
      <c r="F83" s="354">
        <v>988</v>
      </c>
      <c r="G83" s="214" t="s">
        <v>38</v>
      </c>
      <c r="H83" s="216">
        <f>F83*1609.4/3600</f>
        <v>441.69088888888894</v>
      </c>
      <c r="I83" s="224">
        <f t="shared" si="17"/>
        <v>882498396.00000012</v>
      </c>
      <c r="J83" s="505">
        <f t="shared" si="18"/>
        <v>28953359.4488189</v>
      </c>
      <c r="K83" s="505">
        <f t="shared" si="19"/>
        <v>347440313.38582683</v>
      </c>
      <c r="L83" s="505">
        <f t="shared" si="20"/>
        <v>8824983.9600000009</v>
      </c>
      <c r="M83" s="509">
        <f t="shared" si="21"/>
        <v>5483.5908047005487</v>
      </c>
      <c r="N83" s="505">
        <f t="shared" si="22"/>
        <v>8824983960</v>
      </c>
      <c r="O83" s="505">
        <f t="shared" si="23"/>
        <v>9651119.8162729666</v>
      </c>
      <c r="P83" s="356">
        <f t="shared" si="24"/>
        <v>8824983960000</v>
      </c>
      <c r="Q83" s="412">
        <v>882498396</v>
      </c>
      <c r="R83" s="274">
        <v>28953359</v>
      </c>
      <c r="S83" s="274">
        <v>347440313</v>
      </c>
      <c r="T83" s="274">
        <v>8824984</v>
      </c>
      <c r="U83" s="274">
        <v>5483.59</v>
      </c>
      <c r="V83" s="274">
        <v>8824983960</v>
      </c>
      <c r="W83" s="274">
        <v>9651120</v>
      </c>
      <c r="X83" s="2172">
        <v>8824980000000</v>
      </c>
      <c r="Y83" s="745">
        <f t="shared" si="33"/>
        <v>1.3508159345230271E-16</v>
      </c>
      <c r="Z83" s="222">
        <f t="shared" si="34"/>
        <v>1.5501444676376359E-8</v>
      </c>
      <c r="AA83" s="222">
        <f t="shared" si="35"/>
        <v>1.1104837614716477E-9</v>
      </c>
      <c r="AB83" s="222">
        <f t="shared" si="36"/>
        <v>-4.5325860406357409E-9</v>
      </c>
      <c r="AC83" s="222">
        <f t="shared" si="37"/>
        <v>1.4674700888558694E-7</v>
      </c>
      <c r="AD83" s="222">
        <f t="shared" si="38"/>
        <v>0</v>
      </c>
      <c r="AE83" s="222">
        <f t="shared" si="39"/>
        <v>-1.9036861725259298E-8</v>
      </c>
      <c r="AF83" s="223">
        <f t="shared" si="40"/>
        <v>4.4872602805274671E-7</v>
      </c>
    </row>
    <row r="84" spans="3:32" ht="15.75" thickBot="1" x14ac:dyDescent="0.3">
      <c r="C84" s="413">
        <v>266</v>
      </c>
      <c r="D84" s="398" t="s">
        <v>15</v>
      </c>
      <c r="E84" s="850">
        <f>C84</f>
        <v>266</v>
      </c>
      <c r="F84" s="443">
        <v>12</v>
      </c>
      <c r="G84" s="398" t="s">
        <v>38</v>
      </c>
      <c r="H84" s="410">
        <f>F84*1609.4/3600</f>
        <v>5.3646666666666674</v>
      </c>
      <c r="I84" s="401">
        <f t="shared" si="17"/>
        <v>142700.13333333336</v>
      </c>
      <c r="J84" s="618">
        <f t="shared" si="18"/>
        <v>4681.7629046369211</v>
      </c>
      <c r="K84" s="618">
        <f t="shared" si="19"/>
        <v>56181.154855643057</v>
      </c>
      <c r="L84" s="618">
        <f t="shared" si="20"/>
        <v>1427.0013333333336</v>
      </c>
      <c r="M84" s="852">
        <f t="shared" si="21"/>
        <v>0.8866975198175987</v>
      </c>
      <c r="N84" s="618">
        <f t="shared" si="22"/>
        <v>1427001.3333333335</v>
      </c>
      <c r="O84" s="618">
        <f t="shared" si="23"/>
        <v>1560.5876348789739</v>
      </c>
      <c r="P84" s="854">
        <f t="shared" si="24"/>
        <v>1427001333.3333335</v>
      </c>
      <c r="Q84" s="397">
        <v>142700</v>
      </c>
      <c r="R84" s="428">
        <v>4681.76</v>
      </c>
      <c r="S84" s="428">
        <v>56181.2</v>
      </c>
      <c r="T84" s="428">
        <v>1427</v>
      </c>
      <c r="U84" s="428">
        <v>0.88669799999999999</v>
      </c>
      <c r="V84" s="428">
        <v>1427001</v>
      </c>
      <c r="W84" s="428">
        <v>1560.59</v>
      </c>
      <c r="X84" s="410">
        <v>1427001333</v>
      </c>
      <c r="Y84" s="554">
        <f t="shared" si="33"/>
        <v>9.3436025773741549E-7</v>
      </c>
      <c r="Z84" s="235">
        <f t="shared" si="34"/>
        <v>6.2041521112183768E-7</v>
      </c>
      <c r="AA84" s="235">
        <f t="shared" si="35"/>
        <v>-8.0354982121670248E-7</v>
      </c>
      <c r="AB84" s="235">
        <f t="shared" si="36"/>
        <v>9.3436025773741549E-7</v>
      </c>
      <c r="AC84" s="235">
        <f t="shared" si="37"/>
        <v>-5.4154025533357157E-7</v>
      </c>
      <c r="AD84" s="235">
        <f t="shared" si="38"/>
        <v>2.3359006449553917E-7</v>
      </c>
      <c r="AE84" s="235">
        <f t="shared" si="39"/>
        <v>-1.5155323374345383E-6</v>
      </c>
      <c r="AF84" s="236">
        <f t="shared" si="40"/>
        <v>2.335901757711878E-10</v>
      </c>
    </row>
    <row r="85" spans="3:32" ht="15.75" thickTop="1" x14ac:dyDescent="0.25"/>
    <row r="90" spans="3:32" x14ac:dyDescent="0.25">
      <c r="O90" s="90"/>
    </row>
  </sheetData>
  <mergeCells count="31">
    <mergeCell ref="Y70:AF70"/>
    <mergeCell ref="I71:P71"/>
    <mergeCell ref="Q71:X71"/>
    <mergeCell ref="Y71:AF71"/>
    <mergeCell ref="C70:H70"/>
    <mergeCell ref="C71:E71"/>
    <mergeCell ref="F71:H71"/>
    <mergeCell ref="I70:P70"/>
    <mergeCell ref="Q70:X70"/>
    <mergeCell ref="C37:H37"/>
    <mergeCell ref="C38:E38"/>
    <mergeCell ref="F38:H38"/>
    <mergeCell ref="M8:P8"/>
    <mergeCell ref="Q8:T8"/>
    <mergeCell ref="I9:L9"/>
    <mergeCell ref="M9:P9"/>
    <mergeCell ref="Q9:T9"/>
    <mergeCell ref="I37:K37"/>
    <mergeCell ref="L37:N37"/>
    <mergeCell ref="O37:Q37"/>
    <mergeCell ref="I38:K38"/>
    <mergeCell ref="L38:N38"/>
    <mergeCell ref="O38:Q38"/>
    <mergeCell ref="C2:J2"/>
    <mergeCell ref="C4:E4"/>
    <mergeCell ref="H4:I4"/>
    <mergeCell ref="C8:H8"/>
    <mergeCell ref="C9:E9"/>
    <mergeCell ref="F9:H9"/>
    <mergeCell ref="I8:L8"/>
    <mergeCell ref="E6:G6"/>
  </mergeCells>
  <conditionalFormatting sqref="Q11:T34 O40:Q67 Y73:AF84">
    <cfRule type="cellIs" dxfId="7" priority="1" operator="notBetween">
      <formula>-0.001</formula>
      <formula>0.001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AL77"/>
  <sheetViews>
    <sheetView zoomScaleNormal="100" workbookViewId="0">
      <selection activeCell="B2" sqref="B2"/>
    </sheetView>
  </sheetViews>
  <sheetFormatPr defaultColWidth="18.7109375" defaultRowHeight="15" x14ac:dyDescent="0.25"/>
  <cols>
    <col min="1" max="2" width="5.7109375" style="9" customWidth="1"/>
    <col min="3" max="3" width="12.7109375" style="9" customWidth="1"/>
    <col min="4" max="4" width="10.7109375" style="9" customWidth="1"/>
    <col min="5" max="5" width="18.7109375" style="9"/>
    <col min="6" max="6" width="12.7109375" style="9" customWidth="1"/>
    <col min="7" max="7" width="10.7109375" style="9" customWidth="1"/>
    <col min="8" max="9" width="18.7109375" style="9"/>
    <col min="10" max="10" width="18.7109375" style="9" customWidth="1"/>
    <col min="11" max="16384" width="18.7109375" style="9"/>
  </cols>
  <sheetData>
    <row r="2" spans="3:38" ht="21" x14ac:dyDescent="0.35">
      <c r="C2" s="2490" t="s">
        <v>26</v>
      </c>
      <c r="D2" s="2491"/>
      <c r="E2" s="2491"/>
      <c r="F2" s="2491"/>
      <c r="G2" s="2491"/>
      <c r="H2" s="2491"/>
      <c r="I2" s="2491"/>
      <c r="J2" s="2491"/>
    </row>
    <row r="3" spans="3:38" x14ac:dyDescent="0.25"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</row>
    <row r="4" spans="3:38" x14ac:dyDescent="0.25">
      <c r="C4" s="2501" t="s">
        <v>22</v>
      </c>
      <c r="D4" s="2502"/>
      <c r="E4" s="2503"/>
      <c r="F4" s="20"/>
      <c r="G4" s="20"/>
      <c r="H4" s="2501" t="s">
        <v>23</v>
      </c>
      <c r="I4" s="2503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</row>
    <row r="5" spans="3:38" ht="15.75" thickBot="1" x14ac:dyDescent="0.3"/>
    <row r="6" spans="3:38" ht="19.5" thickBot="1" x14ac:dyDescent="0.35">
      <c r="E6" s="2497" t="s">
        <v>129</v>
      </c>
      <c r="F6" s="2498"/>
      <c r="G6" s="2499"/>
    </row>
    <row r="7" spans="3:38" ht="15.75" thickBot="1" x14ac:dyDescent="0.3"/>
    <row r="8" spans="3:38" ht="15.75" thickTop="1" x14ac:dyDescent="0.25">
      <c r="C8" s="2488" t="s">
        <v>0</v>
      </c>
      <c r="D8" s="2489"/>
      <c r="E8" s="2489"/>
      <c r="F8" s="2489"/>
      <c r="G8" s="2489"/>
      <c r="H8" s="2489"/>
      <c r="I8" s="2483" t="s">
        <v>158</v>
      </c>
      <c r="J8" s="2484"/>
      <c r="K8" s="2484"/>
      <c r="L8" s="2485"/>
      <c r="M8" s="2489" t="s">
        <v>17</v>
      </c>
      <c r="N8" s="2489"/>
      <c r="O8" s="2489"/>
      <c r="P8" s="2489"/>
      <c r="Q8" s="2483" t="s">
        <v>8</v>
      </c>
      <c r="R8" s="2484"/>
      <c r="S8" s="2484"/>
      <c r="T8" s="2485"/>
    </row>
    <row r="9" spans="3:38" ht="15.75" thickBot="1" x14ac:dyDescent="0.3">
      <c r="C9" s="2486" t="s">
        <v>151</v>
      </c>
      <c r="D9" s="2487"/>
      <c r="E9" s="2487"/>
      <c r="F9" s="2486" t="s">
        <v>149</v>
      </c>
      <c r="G9" s="2487"/>
      <c r="H9" s="2496"/>
      <c r="I9" s="2480" t="s">
        <v>150</v>
      </c>
      <c r="J9" s="2481"/>
      <c r="K9" s="2481"/>
      <c r="L9" s="2482"/>
      <c r="M9" s="2486" t="s">
        <v>150</v>
      </c>
      <c r="N9" s="2487"/>
      <c r="O9" s="2487"/>
      <c r="P9" s="2496"/>
      <c r="Q9" s="2480" t="s">
        <v>150</v>
      </c>
      <c r="R9" s="2481"/>
      <c r="S9" s="2481"/>
      <c r="T9" s="2482"/>
    </row>
    <row r="10" spans="3:38" ht="15.75" thickBot="1" x14ac:dyDescent="0.3">
      <c r="C10" s="15" t="s">
        <v>3</v>
      </c>
      <c r="D10" s="67" t="s">
        <v>4</v>
      </c>
      <c r="E10" s="501" t="s">
        <v>42</v>
      </c>
      <c r="F10" s="14" t="s">
        <v>3</v>
      </c>
      <c r="G10" s="65" t="s">
        <v>4</v>
      </c>
      <c r="H10" s="805" t="s">
        <v>113</v>
      </c>
      <c r="I10" s="13" t="s">
        <v>36</v>
      </c>
      <c r="J10" s="79" t="s">
        <v>37</v>
      </c>
      <c r="K10" s="79" t="s">
        <v>31</v>
      </c>
      <c r="L10" s="54" t="s">
        <v>38</v>
      </c>
      <c r="M10" s="50" t="s">
        <v>36</v>
      </c>
      <c r="N10" s="80" t="s">
        <v>37</v>
      </c>
      <c r="O10" s="80" t="s">
        <v>31</v>
      </c>
      <c r="P10" s="50" t="s">
        <v>38</v>
      </c>
      <c r="Q10" s="13" t="s">
        <v>36</v>
      </c>
      <c r="R10" s="79" t="s">
        <v>37</v>
      </c>
      <c r="S10" s="79" t="s">
        <v>31</v>
      </c>
      <c r="T10" s="54" t="s">
        <v>38</v>
      </c>
    </row>
    <row r="11" spans="3:38" ht="15.75" thickTop="1" x14ac:dyDescent="0.25">
      <c r="C11" s="1155">
        <v>320</v>
      </c>
      <c r="D11" s="1156" t="s">
        <v>39</v>
      </c>
      <c r="E11" s="1157">
        <f>C11/100</f>
        <v>3.2</v>
      </c>
      <c r="F11" s="968">
        <v>966</v>
      </c>
      <c r="G11" s="964" t="s">
        <v>113</v>
      </c>
      <c r="H11" s="967">
        <f>F11</f>
        <v>966</v>
      </c>
      <c r="I11" s="1152">
        <f>K11*3600/1000</f>
        <v>1165.354945293212</v>
      </c>
      <c r="J11" s="1158">
        <f>K11*60</f>
        <v>19422.582421553536</v>
      </c>
      <c r="K11" s="1158">
        <f>E11*2* PI()*H11/60</f>
        <v>323.70970702589227</v>
      </c>
      <c r="L11" s="1154">
        <f>K11*3600/1609.4</f>
        <v>724.09279563390828</v>
      </c>
      <c r="M11" s="1153">
        <v>1165.3499999999999</v>
      </c>
      <c r="N11" s="1158">
        <v>19422.599999999999</v>
      </c>
      <c r="O11" s="1158">
        <v>323.70999999999998</v>
      </c>
      <c r="P11" s="1153">
        <v>724.09299999999996</v>
      </c>
      <c r="Q11" s="885">
        <f xml:space="preserve"> (I11-M11)/I11</f>
        <v>4.2435939643152632E-6</v>
      </c>
      <c r="R11" s="886">
        <f t="shared" ref="R11:T26" si="0" xml:space="preserve"> (J11-N11)/J11</f>
        <v>-9.0505196895003317E-7</v>
      </c>
      <c r="S11" s="886">
        <f t="shared" si="0"/>
        <v>-9.0505196893832654E-7</v>
      </c>
      <c r="T11" s="887">
        <f t="shared" si="0"/>
        <v>-2.8223743270476553E-7</v>
      </c>
    </row>
    <row r="12" spans="3:38" x14ac:dyDescent="0.25">
      <c r="C12" s="71">
        <v>83</v>
      </c>
      <c r="D12" s="59" t="s">
        <v>40</v>
      </c>
      <c r="E12" s="32">
        <f>C12*0.3048</f>
        <v>25.298400000000001</v>
      </c>
      <c r="F12" s="1059">
        <v>15600</v>
      </c>
      <c r="G12" s="59" t="s">
        <v>113</v>
      </c>
      <c r="H12" s="889">
        <f>F12</f>
        <v>15600</v>
      </c>
      <c r="I12" s="1159">
        <f t="shared" ref="I12:I26" si="1">K12*3600/1000</f>
        <v>148781.4449239423</v>
      </c>
      <c r="J12" s="892">
        <f t="shared" ref="J12:J26" si="2">K12*60</f>
        <v>2479690.7487323717</v>
      </c>
      <c r="K12" s="925">
        <f t="shared" ref="K12:K26" si="3">E12*2* PI()*H12/60</f>
        <v>41328.179145539529</v>
      </c>
      <c r="L12" s="941">
        <f t="shared" ref="L12:L26" si="4">K12*3600/1609.4</f>
        <v>92445.287016243499</v>
      </c>
      <c r="M12" s="1059">
        <v>148781</v>
      </c>
      <c r="N12" s="1060">
        <v>2479691</v>
      </c>
      <c r="O12" s="1060">
        <v>41328.199999999997</v>
      </c>
      <c r="P12" s="32">
        <v>92445.3</v>
      </c>
      <c r="Q12" s="897">
        <f t="shared" ref="Q12:Q26" si="5" xml:space="preserve"> (I12-M12)/I12</f>
        <v>2.990453161178205E-6</v>
      </c>
      <c r="R12" s="898">
        <f t="shared" si="0"/>
        <v>-1.0133022773385445E-7</v>
      </c>
      <c r="S12" s="898">
        <f t="shared" si="0"/>
        <v>-5.0460632187445697E-7</v>
      </c>
      <c r="T12" s="899">
        <f t="shared" si="0"/>
        <v>-1.404480090087337E-7</v>
      </c>
    </row>
    <row r="13" spans="3:38" x14ac:dyDescent="0.25">
      <c r="C13" s="71">
        <v>1290</v>
      </c>
      <c r="D13" s="59" t="s">
        <v>41</v>
      </c>
      <c r="E13" s="32">
        <f>C13*2.54/100</f>
        <v>32.765999999999998</v>
      </c>
      <c r="F13" s="1059">
        <v>12600</v>
      </c>
      <c r="G13" s="59" t="s">
        <v>113</v>
      </c>
      <c r="H13" s="889">
        <f t="shared" ref="H13:H18" si="6">F13</f>
        <v>12600</v>
      </c>
      <c r="I13" s="1159">
        <f t="shared" si="1"/>
        <v>155641.38642993497</v>
      </c>
      <c r="J13" s="892">
        <f t="shared" si="2"/>
        <v>2594023.1071655834</v>
      </c>
      <c r="K13" s="925">
        <f t="shared" si="3"/>
        <v>43233.71845275972</v>
      </c>
      <c r="L13" s="941">
        <f t="shared" si="4"/>
        <v>96707.708729921069</v>
      </c>
      <c r="M13" s="1059">
        <v>155641</v>
      </c>
      <c r="N13" s="1060">
        <v>2594023</v>
      </c>
      <c r="O13" s="1060">
        <v>43233.7</v>
      </c>
      <c r="P13" s="32">
        <v>96707.7</v>
      </c>
      <c r="Q13" s="897">
        <f t="shared" si="5"/>
        <v>2.4828224923330665E-6</v>
      </c>
      <c r="R13" s="898">
        <f t="shared" si="0"/>
        <v>4.1312501462820752E-8</v>
      </c>
      <c r="S13" s="898">
        <f t="shared" si="0"/>
        <v>4.2681407899640267E-7</v>
      </c>
      <c r="T13" s="899">
        <f t="shared" si="0"/>
        <v>9.0271201607831574E-8</v>
      </c>
    </row>
    <row r="14" spans="3:38" x14ac:dyDescent="0.25">
      <c r="C14" s="71">
        <v>7</v>
      </c>
      <c r="D14" s="59" t="s">
        <v>42</v>
      </c>
      <c r="E14" s="32">
        <f>C14</f>
        <v>7</v>
      </c>
      <c r="F14" s="1059">
        <v>45</v>
      </c>
      <c r="G14" s="59" t="s">
        <v>113</v>
      </c>
      <c r="H14" s="889">
        <f t="shared" si="6"/>
        <v>45</v>
      </c>
      <c r="I14" s="1159">
        <f t="shared" si="1"/>
        <v>118.75220230569418</v>
      </c>
      <c r="J14" s="925">
        <f t="shared" si="2"/>
        <v>1979.2033717615698</v>
      </c>
      <c r="K14" s="925">
        <f t="shared" si="3"/>
        <v>32.986722862692829</v>
      </c>
      <c r="L14" s="941">
        <f t="shared" si="4"/>
        <v>73.786629989868388</v>
      </c>
      <c r="M14" s="1059">
        <v>118.752</v>
      </c>
      <c r="N14" s="1060">
        <v>1979.2</v>
      </c>
      <c r="O14" s="1060">
        <v>32.986699999999999</v>
      </c>
      <c r="P14" s="32">
        <v>73.786600000000007</v>
      </c>
      <c r="Q14" s="897">
        <f t="shared" si="5"/>
        <v>1.7035953040030317E-6</v>
      </c>
      <c r="R14" s="898">
        <f t="shared" si="0"/>
        <v>1.7035953039647378E-6</v>
      </c>
      <c r="S14" s="898">
        <f t="shared" si="0"/>
        <v>6.9308772883071648E-7</v>
      </c>
      <c r="T14" s="899">
        <f t="shared" si="0"/>
        <v>4.0644041318557443E-7</v>
      </c>
    </row>
    <row r="15" spans="3:38" x14ac:dyDescent="0.25">
      <c r="C15" s="71">
        <v>35</v>
      </c>
      <c r="D15" s="59" t="s">
        <v>46</v>
      </c>
      <c r="E15" s="32">
        <f>C15*63360*2.54/100</f>
        <v>56327.040000000001</v>
      </c>
      <c r="F15" s="1059">
        <v>8</v>
      </c>
      <c r="G15" s="59" t="s">
        <v>113</v>
      </c>
      <c r="H15" s="889">
        <f t="shared" si="6"/>
        <v>8</v>
      </c>
      <c r="I15" s="1159">
        <f t="shared" si="1"/>
        <v>169878.35045996009</v>
      </c>
      <c r="J15" s="892">
        <f t="shared" si="2"/>
        <v>2831305.8409993346</v>
      </c>
      <c r="K15" s="925">
        <f t="shared" si="3"/>
        <v>47188.430683322244</v>
      </c>
      <c r="L15" s="941">
        <f t="shared" si="4"/>
        <v>105553.84022614644</v>
      </c>
      <c r="M15" s="1059">
        <v>169878</v>
      </c>
      <c r="N15" s="1060">
        <v>2831306</v>
      </c>
      <c r="O15" s="1060">
        <v>47188.4</v>
      </c>
      <c r="P15" s="32">
        <v>105554</v>
      </c>
      <c r="Q15" s="897">
        <f t="shared" si="5"/>
        <v>2.0630054338099737E-6</v>
      </c>
      <c r="R15" s="898">
        <f t="shared" si="0"/>
        <v>-5.6158067811903252E-8</v>
      </c>
      <c r="S15" s="898">
        <f t="shared" si="0"/>
        <v>6.5022976602093857E-7</v>
      </c>
      <c r="T15" s="899">
        <f t="shared" si="0"/>
        <v>-1.5136716316669157E-6</v>
      </c>
    </row>
    <row r="16" spans="3:38" x14ac:dyDescent="0.25">
      <c r="C16" s="71">
        <v>988</v>
      </c>
      <c r="D16" s="59" t="s">
        <v>43</v>
      </c>
      <c r="E16" s="32">
        <f>C16/1000</f>
        <v>0.98799999999999999</v>
      </c>
      <c r="F16" s="1059">
        <v>19</v>
      </c>
      <c r="G16" s="59" t="s">
        <v>113</v>
      </c>
      <c r="H16" s="889">
        <f t="shared" si="6"/>
        <v>19</v>
      </c>
      <c r="I16" s="1159">
        <f t="shared" si="1"/>
        <v>7.0768772751825129</v>
      </c>
      <c r="J16" s="925">
        <f t="shared" si="2"/>
        <v>117.9479545863752</v>
      </c>
      <c r="K16" s="925">
        <f t="shared" si="3"/>
        <v>1.9657992431062534</v>
      </c>
      <c r="L16" s="941">
        <f t="shared" si="4"/>
        <v>4.3972146608565383</v>
      </c>
      <c r="M16" s="1059">
        <v>7.0768800000000001</v>
      </c>
      <c r="N16" s="1060">
        <v>117.94799999999999</v>
      </c>
      <c r="O16" s="1060">
        <v>1.9658</v>
      </c>
      <c r="P16" s="32">
        <v>4.3972100000000003</v>
      </c>
      <c r="Q16" s="897">
        <f t="shared" si="5"/>
        <v>-3.8503104988891824E-7</v>
      </c>
      <c r="R16" s="898">
        <f t="shared" si="0"/>
        <v>-3.8503104991401911E-7</v>
      </c>
      <c r="S16" s="898">
        <f t="shared" si="0"/>
        <v>-3.8503104995167042E-7</v>
      </c>
      <c r="T16" s="899">
        <f t="shared" si="0"/>
        <v>1.0599565628539221E-6</v>
      </c>
    </row>
    <row r="17" spans="3:20" x14ac:dyDescent="0.25">
      <c r="C17" s="71">
        <v>667</v>
      </c>
      <c r="D17" s="59" t="s">
        <v>44</v>
      </c>
      <c r="E17" s="32">
        <f>C17*0.9144</f>
        <v>609.90480000000002</v>
      </c>
      <c r="F17" s="71">
        <v>1555</v>
      </c>
      <c r="G17" s="59" t="s">
        <v>113</v>
      </c>
      <c r="H17" s="889">
        <f t="shared" si="6"/>
        <v>1555</v>
      </c>
      <c r="I17" s="1159">
        <f t="shared" si="1"/>
        <v>357539.11713030376</v>
      </c>
      <c r="J17" s="892">
        <f t="shared" si="2"/>
        <v>5958985.2855050629</v>
      </c>
      <c r="K17" s="925">
        <f t="shared" si="3"/>
        <v>99316.42142508438</v>
      </c>
      <c r="L17" s="941">
        <f t="shared" si="4"/>
        <v>222156.77714073798</v>
      </c>
      <c r="M17" s="1059">
        <v>357539</v>
      </c>
      <c r="N17" s="1060">
        <v>5958985</v>
      </c>
      <c r="O17" s="1060">
        <v>99316.4</v>
      </c>
      <c r="P17" s="32">
        <v>222157</v>
      </c>
      <c r="Q17" s="897">
        <f t="shared" si="5"/>
        <v>3.276013676364113E-7</v>
      </c>
      <c r="R17" s="898">
        <f t="shared" si="0"/>
        <v>4.7911691206044857E-8</v>
      </c>
      <c r="S17" s="898">
        <f t="shared" si="0"/>
        <v>2.1572549713459468E-7</v>
      </c>
      <c r="T17" s="899">
        <f t="shared" si="0"/>
        <v>-1.0031621132221328E-6</v>
      </c>
    </row>
    <row r="18" spans="3:20" ht="15.75" thickBot="1" x14ac:dyDescent="0.3">
      <c r="C18" s="1091">
        <v>1333</v>
      </c>
      <c r="D18" s="1052" t="s">
        <v>156</v>
      </c>
      <c r="E18" s="1053">
        <f>C18/1000000</f>
        <v>1.333E-3</v>
      </c>
      <c r="F18" s="1091">
        <v>7</v>
      </c>
      <c r="G18" s="1052" t="s">
        <v>113</v>
      </c>
      <c r="H18" s="1055">
        <f t="shared" si="6"/>
        <v>7</v>
      </c>
      <c r="I18" s="1191">
        <f t="shared" si="1"/>
        <v>3.5177041260775633E-3</v>
      </c>
      <c r="J18" s="1192">
        <f t="shared" si="2"/>
        <v>5.862840210129272E-2</v>
      </c>
      <c r="K18" s="1192">
        <f t="shared" si="3"/>
        <v>9.7714003502154538E-4</v>
      </c>
      <c r="L18" s="1193">
        <f t="shared" si="4"/>
        <v>2.1857239505887679E-3</v>
      </c>
      <c r="M18" s="1064">
        <v>3.5176999999999999E-3</v>
      </c>
      <c r="N18" s="1066">
        <v>5.8628399999999997E-2</v>
      </c>
      <c r="O18" s="1066">
        <v>9.7714000000000004E-4</v>
      </c>
      <c r="P18" s="1065">
        <v>2.1857199999999999E-3</v>
      </c>
      <c r="Q18" s="911">
        <f t="shared" si="5"/>
        <v>1.1729461647428934E-6</v>
      </c>
      <c r="R18" s="912">
        <f t="shared" si="0"/>
        <v>3.584086633514597E-8</v>
      </c>
      <c r="S18" s="912">
        <f t="shared" si="0"/>
        <v>3.584086629076329E-8</v>
      </c>
      <c r="T18" s="913">
        <f t="shared" si="0"/>
        <v>1.8074509212146547E-6</v>
      </c>
    </row>
    <row r="19" spans="3:20" ht="15.75" thickTop="1" x14ac:dyDescent="0.25">
      <c r="C19" s="1541">
        <v>78</v>
      </c>
      <c r="D19" s="1523" t="s">
        <v>39</v>
      </c>
      <c r="E19" s="1524">
        <f>C19/100</f>
        <v>0.78</v>
      </c>
      <c r="F19" s="1522">
        <v>12600</v>
      </c>
      <c r="G19" s="1523" t="s">
        <v>114</v>
      </c>
      <c r="H19" s="1525">
        <f>F19*60</f>
        <v>756000</v>
      </c>
      <c r="I19" s="1528">
        <f t="shared" si="1"/>
        <v>222304.1227162595</v>
      </c>
      <c r="J19" s="1542">
        <f t="shared" si="2"/>
        <v>3705068.7119376585</v>
      </c>
      <c r="K19" s="1543">
        <f t="shared" si="3"/>
        <v>61751.145198960978</v>
      </c>
      <c r="L19" s="1544">
        <f t="shared" si="4"/>
        <v>138128.57134103362</v>
      </c>
      <c r="M19" s="1431">
        <v>222304</v>
      </c>
      <c r="N19" s="1442">
        <v>3705069</v>
      </c>
      <c r="O19" s="1442">
        <v>61751.1</v>
      </c>
      <c r="P19" s="1334">
        <v>138129</v>
      </c>
      <c r="Q19" s="1265">
        <f t="shared" si="5"/>
        <v>5.5201971966561525E-7</v>
      </c>
      <c r="R19" s="1266">
        <f t="shared" si="0"/>
        <v>-7.7748177944208798E-8</v>
      </c>
      <c r="S19" s="1266">
        <f t="shared" si="0"/>
        <v>7.3195340480808764E-7</v>
      </c>
      <c r="T19" s="1267">
        <f t="shared" si="0"/>
        <v>-3.1033330919217204E-6</v>
      </c>
    </row>
    <row r="20" spans="3:20" x14ac:dyDescent="0.25">
      <c r="C20" s="1268">
        <v>1200</v>
      </c>
      <c r="D20" s="1269" t="s">
        <v>40</v>
      </c>
      <c r="E20" s="1254">
        <f>C20*0.3048</f>
        <v>365.76</v>
      </c>
      <c r="F20" s="1435">
        <v>45</v>
      </c>
      <c r="G20" s="1269" t="s">
        <v>114</v>
      </c>
      <c r="H20" s="1270">
        <f>F20*60</f>
        <v>2700</v>
      </c>
      <c r="I20" s="1532">
        <f t="shared" si="1"/>
        <v>372298.33298854885</v>
      </c>
      <c r="J20" s="1282">
        <f t="shared" si="2"/>
        <v>6204972.2164758146</v>
      </c>
      <c r="K20" s="1323">
        <f t="shared" si="3"/>
        <v>103416.20360793025</v>
      </c>
      <c r="L20" s="1324">
        <f t="shared" si="4"/>
        <v>231327.4095865222</v>
      </c>
      <c r="M20" s="1435">
        <v>372298</v>
      </c>
      <c r="N20" s="1446">
        <v>6204972</v>
      </c>
      <c r="O20" s="1446">
        <v>103416</v>
      </c>
      <c r="P20" s="1254">
        <v>231327</v>
      </c>
      <c r="Q20" s="1277">
        <f t="shared" si="5"/>
        <v>8.9441321473627369E-7</v>
      </c>
      <c r="R20" s="1278">
        <f t="shared" si="0"/>
        <v>3.4887475242212654E-8</v>
      </c>
      <c r="S20" s="1278">
        <f t="shared" si="0"/>
        <v>1.9688203893149178E-6</v>
      </c>
      <c r="T20" s="1279">
        <f t="shared" si="0"/>
        <v>1.7705922654666663E-6</v>
      </c>
    </row>
    <row r="21" spans="3:20" x14ac:dyDescent="0.25">
      <c r="C21" s="1268">
        <v>467</v>
      </c>
      <c r="D21" s="1269" t="s">
        <v>41</v>
      </c>
      <c r="E21" s="1254">
        <f>C21*2.54/100</f>
        <v>11.861800000000001</v>
      </c>
      <c r="F21" s="1435">
        <v>234</v>
      </c>
      <c r="G21" s="1269" t="s">
        <v>114</v>
      </c>
      <c r="H21" s="1270">
        <f t="shared" ref="H21:H26" si="7">F21*60</f>
        <v>14040</v>
      </c>
      <c r="I21" s="1532">
        <f t="shared" si="1"/>
        <v>62783.977210374462</v>
      </c>
      <c r="J21" s="1282">
        <f t="shared" si="2"/>
        <v>1046399.6201729077</v>
      </c>
      <c r="K21" s="1323">
        <f t="shared" si="3"/>
        <v>17439.993669548461</v>
      </c>
      <c r="L21" s="1324">
        <f t="shared" si="4"/>
        <v>39010.797322216014</v>
      </c>
      <c r="M21" s="1435">
        <v>62784</v>
      </c>
      <c r="N21" s="1446">
        <v>1046400</v>
      </c>
      <c r="O21" s="1446">
        <v>17440</v>
      </c>
      <c r="P21" s="1254">
        <v>39010.800000000003</v>
      </c>
      <c r="Q21" s="1277">
        <f t="shared" si="5"/>
        <v>-3.6298473831814628E-7</v>
      </c>
      <c r="R21" s="1278">
        <f t="shared" si="0"/>
        <v>-3.629847382996041E-7</v>
      </c>
      <c r="S21" s="1278">
        <f t="shared" si="0"/>
        <v>-3.6298473834132407E-7</v>
      </c>
      <c r="T21" s="1279">
        <f t="shared" si="0"/>
        <v>-6.864212403445157E-8</v>
      </c>
    </row>
    <row r="22" spans="3:20" x14ac:dyDescent="0.25">
      <c r="C22" s="1268">
        <v>1005</v>
      </c>
      <c r="D22" s="1269" t="s">
        <v>42</v>
      </c>
      <c r="E22" s="1254">
        <f>C22</f>
        <v>1005</v>
      </c>
      <c r="F22" s="1435">
        <v>9</v>
      </c>
      <c r="G22" s="1269" t="s">
        <v>114</v>
      </c>
      <c r="H22" s="1270">
        <f t="shared" si="7"/>
        <v>540</v>
      </c>
      <c r="I22" s="1532">
        <f t="shared" si="1"/>
        <v>204593.0799723817</v>
      </c>
      <c r="J22" s="1282">
        <f t="shared" si="2"/>
        <v>3409884.6662063617</v>
      </c>
      <c r="K22" s="1323">
        <f t="shared" si="3"/>
        <v>56831.411103439365</v>
      </c>
      <c r="L22" s="1324">
        <f t="shared" si="4"/>
        <v>127123.82252540183</v>
      </c>
      <c r="M22" s="1435">
        <v>204593</v>
      </c>
      <c r="N22" s="1446">
        <v>3409885</v>
      </c>
      <c r="O22" s="1446">
        <v>56831.4</v>
      </c>
      <c r="P22" s="1254">
        <v>127124</v>
      </c>
      <c r="Q22" s="1277">
        <f t="shared" si="5"/>
        <v>3.908850764373417E-7</v>
      </c>
      <c r="R22" s="1278">
        <f t="shared" si="0"/>
        <v>-9.789000829914664E-8</v>
      </c>
      <c r="S22" s="1278">
        <f t="shared" si="0"/>
        <v>1.9537504255981663E-7</v>
      </c>
      <c r="T22" s="1279">
        <f t="shared" si="0"/>
        <v>-1.3960766333312643E-6</v>
      </c>
    </row>
    <row r="23" spans="3:20" x14ac:dyDescent="0.25">
      <c r="C23" s="1268">
        <v>3</v>
      </c>
      <c r="D23" s="1269" t="s">
        <v>46</v>
      </c>
      <c r="E23" s="1254">
        <f>C23*63360*2.54/100</f>
        <v>4828.0320000000002</v>
      </c>
      <c r="F23" s="1435">
        <v>60</v>
      </c>
      <c r="G23" s="1269" t="s">
        <v>114</v>
      </c>
      <c r="H23" s="1270">
        <f t="shared" si="7"/>
        <v>3600</v>
      </c>
      <c r="I23" s="1532">
        <f t="shared" si="1"/>
        <v>6552450.6605984606</v>
      </c>
      <c r="J23" s="1419">
        <f t="shared" si="2"/>
        <v>109207511.00997435</v>
      </c>
      <c r="K23" s="1323">
        <f t="shared" si="3"/>
        <v>1820125.1834995723</v>
      </c>
      <c r="L23" s="1324">
        <f t="shared" si="4"/>
        <v>4071362.4087227909</v>
      </c>
      <c r="M23" s="1435">
        <v>6552451</v>
      </c>
      <c r="N23" s="1446">
        <v>109207511</v>
      </c>
      <c r="O23" s="1446">
        <v>1820125</v>
      </c>
      <c r="P23" s="1254">
        <v>4071362</v>
      </c>
      <c r="Q23" s="1277">
        <f t="shared" si="5"/>
        <v>-5.1797649001163515E-8</v>
      </c>
      <c r="R23" s="1278">
        <f t="shared" si="0"/>
        <v>9.1333878710331825E-11</v>
      </c>
      <c r="S23" s="1278">
        <f t="shared" si="0"/>
        <v>1.0081700643256418E-7</v>
      </c>
      <c r="T23" s="1279">
        <f t="shared" si="0"/>
        <v>1.0038968528416035E-7</v>
      </c>
    </row>
    <row r="24" spans="3:20" x14ac:dyDescent="0.25">
      <c r="C24" s="1268">
        <v>21</v>
      </c>
      <c r="D24" s="1269" t="s">
        <v>43</v>
      </c>
      <c r="E24" s="1254">
        <f>C24/1000</f>
        <v>2.1000000000000001E-2</v>
      </c>
      <c r="F24" s="1435">
        <v>5125</v>
      </c>
      <c r="G24" s="1269" t="s">
        <v>114</v>
      </c>
      <c r="H24" s="1270">
        <f t="shared" si="7"/>
        <v>307500</v>
      </c>
      <c r="I24" s="1532">
        <f t="shared" si="1"/>
        <v>2434.420147266731</v>
      </c>
      <c r="J24" s="1323">
        <f t="shared" si="2"/>
        <v>40573.66912111218</v>
      </c>
      <c r="K24" s="1323">
        <f t="shared" si="3"/>
        <v>676.22781868520303</v>
      </c>
      <c r="L24" s="1324">
        <f t="shared" si="4"/>
        <v>1512.6259147923022</v>
      </c>
      <c r="M24" s="1435">
        <v>2434.42</v>
      </c>
      <c r="N24" s="1446">
        <v>40573.699999999997</v>
      </c>
      <c r="O24" s="1446">
        <v>676.22799999999995</v>
      </c>
      <c r="P24" s="1254">
        <v>1512.63</v>
      </c>
      <c r="Q24" s="1277">
        <f t="shared" si="5"/>
        <v>6.0493555747581379E-8</v>
      </c>
      <c r="R24" s="1278">
        <f t="shared" si="0"/>
        <v>-7.6105731836099684E-7</v>
      </c>
      <c r="S24" s="1278">
        <f t="shared" si="0"/>
        <v>-2.6812679382411903E-7</v>
      </c>
      <c r="T24" s="1279">
        <f t="shared" si="0"/>
        <v>-2.7007389321947752E-6</v>
      </c>
    </row>
    <row r="25" spans="3:20" x14ac:dyDescent="0.25">
      <c r="C25" s="1268">
        <v>45</v>
      </c>
      <c r="D25" s="1269" t="s">
        <v>44</v>
      </c>
      <c r="E25" s="1254">
        <f>C25*0.9144</f>
        <v>41.147999999999996</v>
      </c>
      <c r="F25" s="1268">
        <v>4</v>
      </c>
      <c r="G25" s="1269" t="s">
        <v>114</v>
      </c>
      <c r="H25" s="1270">
        <f t="shared" si="7"/>
        <v>240</v>
      </c>
      <c r="I25" s="1532">
        <f t="shared" si="1"/>
        <v>3722.9833298854887</v>
      </c>
      <c r="J25" s="1323">
        <f t="shared" si="2"/>
        <v>62049.722164758146</v>
      </c>
      <c r="K25" s="1323">
        <f t="shared" si="3"/>
        <v>1034.1620360793024</v>
      </c>
      <c r="L25" s="1324">
        <f t="shared" si="4"/>
        <v>2313.2740958652221</v>
      </c>
      <c r="M25" s="1435">
        <v>3722.98</v>
      </c>
      <c r="N25" s="1446">
        <v>62049.7</v>
      </c>
      <c r="O25" s="1446">
        <v>1034.1600000000001</v>
      </c>
      <c r="P25" s="1254">
        <v>2313.27</v>
      </c>
      <c r="Q25" s="1277">
        <f t="shared" si="5"/>
        <v>8.9441321479490372E-7</v>
      </c>
      <c r="R25" s="1278">
        <f t="shared" si="0"/>
        <v>3.5720962763456757E-7</v>
      </c>
      <c r="S25" s="1278">
        <f t="shared" si="0"/>
        <v>1.9688203891742061E-6</v>
      </c>
      <c r="T25" s="1279">
        <f t="shared" si="0"/>
        <v>1.7705922654902561E-6</v>
      </c>
    </row>
    <row r="26" spans="3:20" ht="15.75" thickBot="1" x14ac:dyDescent="0.3">
      <c r="C26" s="1478">
        <v>6789</v>
      </c>
      <c r="D26" s="1479" t="s">
        <v>156</v>
      </c>
      <c r="E26" s="1480">
        <f>C26/1000000</f>
        <v>6.7889999999999999E-3</v>
      </c>
      <c r="F26" s="1478">
        <v>984</v>
      </c>
      <c r="G26" s="1479" t="s">
        <v>114</v>
      </c>
      <c r="H26" s="1482">
        <f t="shared" si="7"/>
        <v>59040</v>
      </c>
      <c r="I26" s="1545">
        <f t="shared" si="1"/>
        <v>151.1065451866865</v>
      </c>
      <c r="J26" s="1546">
        <f t="shared" si="2"/>
        <v>2518.4424197781082</v>
      </c>
      <c r="K26" s="1546">
        <f t="shared" si="3"/>
        <v>41.974040329635137</v>
      </c>
      <c r="L26" s="1547">
        <f t="shared" si="4"/>
        <v>93.889987067656577</v>
      </c>
      <c r="M26" s="1484">
        <v>151.107</v>
      </c>
      <c r="N26" s="1483">
        <v>2518.44</v>
      </c>
      <c r="O26" s="1483">
        <v>41.973999999999997</v>
      </c>
      <c r="P26" s="1480">
        <v>93.89</v>
      </c>
      <c r="Q26" s="1392">
        <f t="shared" si="5"/>
        <v>-3.0098849320799169E-6</v>
      </c>
      <c r="R26" s="1393">
        <f t="shared" si="0"/>
        <v>9.6082328073193486E-7</v>
      </c>
      <c r="S26" s="1393">
        <f t="shared" si="0"/>
        <v>9.6082328086735997E-7</v>
      </c>
      <c r="T26" s="1394">
        <f t="shared" si="0"/>
        <v>-1.3773932479488414E-7</v>
      </c>
    </row>
    <row r="27" spans="3:20" ht="15.75" thickTop="1" x14ac:dyDescent="0.25"/>
    <row r="28" spans="3:20" ht="15.75" thickBot="1" x14ac:dyDescent="0.3"/>
    <row r="29" spans="3:20" ht="15.75" thickTop="1" x14ac:dyDescent="0.25">
      <c r="C29" s="2509" t="s">
        <v>0</v>
      </c>
      <c r="D29" s="2516"/>
      <c r="E29" s="2516"/>
      <c r="F29" s="2516"/>
      <c r="G29" s="2516"/>
      <c r="H29" s="2523"/>
      <c r="I29" s="2506" t="s">
        <v>158</v>
      </c>
      <c r="J29" s="2519"/>
      <c r="K29" s="2509" t="s">
        <v>17</v>
      </c>
      <c r="L29" s="2523"/>
      <c r="M29" s="2519" t="s">
        <v>8</v>
      </c>
      <c r="N29" s="2522"/>
      <c r="O29" s="2530"/>
      <c r="P29" s="2530"/>
      <c r="Q29" s="121"/>
      <c r="R29" s="121"/>
      <c r="S29" s="121"/>
      <c r="T29" s="121"/>
    </row>
    <row r="30" spans="3:20" ht="15.75" thickBot="1" x14ac:dyDescent="0.3">
      <c r="C30" s="2486" t="s">
        <v>151</v>
      </c>
      <c r="D30" s="2487"/>
      <c r="E30" s="2487"/>
      <c r="F30" s="2486" t="s">
        <v>150</v>
      </c>
      <c r="G30" s="2487"/>
      <c r="H30" s="2496"/>
      <c r="I30" s="2480" t="s">
        <v>149</v>
      </c>
      <c r="J30" s="2481"/>
      <c r="K30" s="2486" t="s">
        <v>149</v>
      </c>
      <c r="L30" s="2487"/>
      <c r="M30" s="2480" t="s">
        <v>149</v>
      </c>
      <c r="N30" s="2482"/>
      <c r="O30" s="2530"/>
      <c r="P30" s="2530"/>
      <c r="Q30" s="121"/>
      <c r="R30" s="121"/>
      <c r="S30" s="121"/>
      <c r="T30" s="121"/>
    </row>
    <row r="31" spans="3:20" ht="15.75" thickBot="1" x14ac:dyDescent="0.3">
      <c r="C31" s="82" t="s">
        <v>3</v>
      </c>
      <c r="D31" s="66" t="s">
        <v>4</v>
      </c>
      <c r="E31" s="84" t="s">
        <v>42</v>
      </c>
      <c r="F31" s="82" t="s">
        <v>3</v>
      </c>
      <c r="G31" s="66" t="s">
        <v>4</v>
      </c>
      <c r="H31" s="85" t="s">
        <v>31</v>
      </c>
      <c r="I31" s="87" t="s">
        <v>113</v>
      </c>
      <c r="J31" s="808" t="s">
        <v>114</v>
      </c>
      <c r="K31" s="698" t="s">
        <v>113</v>
      </c>
      <c r="L31" s="699" t="s">
        <v>114</v>
      </c>
      <c r="M31" s="700" t="s">
        <v>113</v>
      </c>
      <c r="N31" s="697" t="s">
        <v>114</v>
      </c>
      <c r="O31" s="121"/>
      <c r="P31" s="121"/>
      <c r="Q31" s="121"/>
      <c r="R31" s="121"/>
      <c r="S31" s="121"/>
      <c r="T31" s="121"/>
    </row>
    <row r="32" spans="3:20" ht="15.75" thickTop="1" x14ac:dyDescent="0.25">
      <c r="C32" s="1091">
        <v>566</v>
      </c>
      <c r="D32" s="1052" t="s">
        <v>39</v>
      </c>
      <c r="E32" s="1053">
        <f>C32/100</f>
        <v>5.66</v>
      </c>
      <c r="F32" s="1091">
        <v>4545</v>
      </c>
      <c r="G32" s="1052" t="s">
        <v>36</v>
      </c>
      <c r="H32" s="1055">
        <f>F32*1000/3600</f>
        <v>1262.5</v>
      </c>
      <c r="I32" s="1053">
        <f>(60*H32)/(2*PI()*E32)</f>
        <v>2130.0330281291649</v>
      </c>
      <c r="J32" s="1181">
        <f>I32/60</f>
        <v>35.500550468819412</v>
      </c>
      <c r="K32" s="1182">
        <v>2130.0300000000002</v>
      </c>
      <c r="L32" s="1055">
        <v>35.500599999999999</v>
      </c>
      <c r="M32" s="1183">
        <f xml:space="preserve"> (I32-K32)/I32</f>
        <v>1.4216348407348128E-6</v>
      </c>
      <c r="N32" s="982">
        <f xml:space="preserve"> (J32-L32)/J32</f>
        <v>-1.3952228890049074E-6</v>
      </c>
      <c r="O32" s="113"/>
      <c r="P32" s="121"/>
      <c r="Q32" s="121"/>
      <c r="R32" s="113"/>
      <c r="S32" s="113"/>
      <c r="T32" s="121"/>
    </row>
    <row r="33" spans="3:20" x14ac:dyDescent="0.25">
      <c r="C33" s="71">
        <v>908</v>
      </c>
      <c r="D33" s="59" t="s">
        <v>40</v>
      </c>
      <c r="E33" s="32">
        <f>C33*0.3048</f>
        <v>276.75839999999999</v>
      </c>
      <c r="F33" s="71">
        <v>6765</v>
      </c>
      <c r="G33" s="59" t="s">
        <v>36</v>
      </c>
      <c r="H33" s="889">
        <f t="shared" ref="H33:H39" si="8">F33*1000/3600</f>
        <v>1879.1666666666667</v>
      </c>
      <c r="I33" s="32">
        <f t="shared" ref="I33:I63" si="9">(60*H33)/(2*PI()*E33)</f>
        <v>64.838934730115511</v>
      </c>
      <c r="J33" s="1184">
        <f t="shared" ref="J33:J63" si="10">I33/60</f>
        <v>1.0806489121685918</v>
      </c>
      <c r="K33" s="1185">
        <v>64.838899999999995</v>
      </c>
      <c r="L33" s="889">
        <v>1.0806500000000001</v>
      </c>
      <c r="M33" s="1186">
        <f t="shared" ref="M33:M63" si="11" xml:space="preserve"> (I33-K33)/I33</f>
        <v>5.3563673833435161E-7</v>
      </c>
      <c r="N33" s="899">
        <f t="shared" ref="N33:N63" si="12" xml:space="preserve"> (J33-L33)/J33</f>
        <v>-1.0066464658750934E-6</v>
      </c>
      <c r="O33" s="121"/>
      <c r="P33" s="121"/>
      <c r="Q33" s="121"/>
      <c r="R33" s="113"/>
      <c r="S33" s="113"/>
      <c r="T33" s="121"/>
    </row>
    <row r="34" spans="3:20" x14ac:dyDescent="0.25">
      <c r="C34" s="71">
        <v>1255</v>
      </c>
      <c r="D34" s="59" t="s">
        <v>41</v>
      </c>
      <c r="E34" s="32">
        <f>C34*2.54/100</f>
        <v>31.876999999999999</v>
      </c>
      <c r="F34" s="71">
        <v>787</v>
      </c>
      <c r="G34" s="59" t="s">
        <v>36</v>
      </c>
      <c r="H34" s="889">
        <f t="shared" si="8"/>
        <v>218.61111111111111</v>
      </c>
      <c r="I34" s="32">
        <f t="shared" si="9"/>
        <v>65.488670103481951</v>
      </c>
      <c r="J34" s="1184">
        <f t="shared" si="10"/>
        <v>1.0914778350580325</v>
      </c>
      <c r="K34" s="1185">
        <v>65.488699999999994</v>
      </c>
      <c r="L34" s="889">
        <v>1.09148</v>
      </c>
      <c r="M34" s="1186">
        <f t="shared" si="11"/>
        <v>-4.5651435578359132E-7</v>
      </c>
      <c r="N34" s="899">
        <f t="shared" si="12"/>
        <v>-1.9834960435637977E-6</v>
      </c>
      <c r="O34" s="121"/>
      <c r="P34" s="121"/>
      <c r="Q34" s="121"/>
      <c r="R34" s="113"/>
      <c r="S34" s="113"/>
      <c r="T34" s="121"/>
    </row>
    <row r="35" spans="3:20" x14ac:dyDescent="0.25">
      <c r="C35" s="71">
        <v>677</v>
      </c>
      <c r="D35" s="59" t="s">
        <v>42</v>
      </c>
      <c r="E35" s="32">
        <f>C35</f>
        <v>677</v>
      </c>
      <c r="F35" s="71">
        <v>987</v>
      </c>
      <c r="G35" s="59" t="s">
        <v>36</v>
      </c>
      <c r="H35" s="889">
        <f t="shared" si="8"/>
        <v>274.16666666666669</v>
      </c>
      <c r="I35" s="32">
        <f t="shared" si="9"/>
        <v>3.8672065197366003</v>
      </c>
      <c r="J35" s="1184">
        <f t="shared" si="10"/>
        <v>6.4453441995610011E-2</v>
      </c>
      <c r="K35" s="1185">
        <v>3.86721</v>
      </c>
      <c r="L35" s="889">
        <v>6.4453399999999994E-2</v>
      </c>
      <c r="M35" s="1186">
        <f t="shared" si="11"/>
        <v>-8.9994247318556488E-7</v>
      </c>
      <c r="N35" s="899">
        <f t="shared" si="12"/>
        <v>6.5156504783927866E-7</v>
      </c>
      <c r="O35" s="121"/>
      <c r="P35" s="121"/>
      <c r="Q35" s="121"/>
      <c r="R35" s="113"/>
      <c r="S35" s="113"/>
      <c r="T35" s="121"/>
    </row>
    <row r="36" spans="3:20" x14ac:dyDescent="0.25">
      <c r="C36" s="71">
        <v>866</v>
      </c>
      <c r="D36" s="59" t="s">
        <v>46</v>
      </c>
      <c r="E36" s="32">
        <f>C36*63360*2.54/100</f>
        <v>1393691.9040000001</v>
      </c>
      <c r="F36" s="71">
        <v>22</v>
      </c>
      <c r="G36" s="59" t="s">
        <v>36</v>
      </c>
      <c r="H36" s="889">
        <f t="shared" si="8"/>
        <v>6.1111111111111107</v>
      </c>
      <c r="I36" s="32">
        <f t="shared" si="9"/>
        <v>4.1872104085228495E-5</v>
      </c>
      <c r="J36" s="1184">
        <f t="shared" si="10"/>
        <v>6.9786840142047495E-7</v>
      </c>
      <c r="K36" s="1187">
        <v>4.1872104085228502E-5</v>
      </c>
      <c r="L36" s="1118">
        <v>6.9786840142047495E-7</v>
      </c>
      <c r="M36" s="1186">
        <f t="shared" si="11"/>
        <v>-1.6183241148430635E-16</v>
      </c>
      <c r="N36" s="899">
        <f t="shared" si="12"/>
        <v>0</v>
      </c>
      <c r="O36" s="121"/>
      <c r="P36" s="121"/>
      <c r="Q36" s="121"/>
      <c r="R36" s="113"/>
      <c r="S36" s="113"/>
      <c r="T36" s="121"/>
    </row>
    <row r="37" spans="3:20" x14ac:dyDescent="0.25">
      <c r="C37" s="71">
        <v>89</v>
      </c>
      <c r="D37" s="59" t="s">
        <v>43</v>
      </c>
      <c r="E37" s="32">
        <f>C37/1000</f>
        <v>8.8999999999999996E-2</v>
      </c>
      <c r="F37" s="71">
        <v>64</v>
      </c>
      <c r="G37" s="59" t="s">
        <v>36</v>
      </c>
      <c r="H37" s="889">
        <f t="shared" si="8"/>
        <v>17.777777777777779</v>
      </c>
      <c r="I37" s="32">
        <f t="shared" si="9"/>
        <v>1907.4749733860119</v>
      </c>
      <c r="J37" s="1184">
        <f t="shared" si="10"/>
        <v>31.791249556433531</v>
      </c>
      <c r="K37" s="1185">
        <v>1907.47</v>
      </c>
      <c r="L37" s="889">
        <v>31.7912</v>
      </c>
      <c r="M37" s="1186">
        <f t="shared" si="11"/>
        <v>2.6073138999403371E-6</v>
      </c>
      <c r="N37" s="899">
        <f t="shared" si="12"/>
        <v>1.5588073517848373E-6</v>
      </c>
      <c r="O37" s="121"/>
      <c r="P37" s="121"/>
      <c r="Q37" s="121"/>
      <c r="R37" s="113"/>
      <c r="S37" s="113"/>
      <c r="T37" s="121"/>
    </row>
    <row r="38" spans="3:20" x14ac:dyDescent="0.25">
      <c r="C38" s="71">
        <v>5</v>
      </c>
      <c r="D38" s="59" t="s">
        <v>44</v>
      </c>
      <c r="E38" s="32">
        <f>C38*0.9144</f>
        <v>4.5720000000000001</v>
      </c>
      <c r="F38" s="71">
        <v>978</v>
      </c>
      <c r="G38" s="59" t="s">
        <v>36</v>
      </c>
      <c r="H38" s="889">
        <f t="shared" si="8"/>
        <v>271.66666666666669</v>
      </c>
      <c r="I38" s="32">
        <f t="shared" si="9"/>
        <v>567.41591697241779</v>
      </c>
      <c r="J38" s="1184">
        <f t="shared" si="10"/>
        <v>9.4569319495402961</v>
      </c>
      <c r="K38" s="1185">
        <v>567.41600000000005</v>
      </c>
      <c r="L38" s="889">
        <v>9.4569299999999998</v>
      </c>
      <c r="M38" s="1186">
        <f t="shared" si="11"/>
        <v>-1.4632578991906475E-7</v>
      </c>
      <c r="N38" s="899">
        <f t="shared" si="12"/>
        <v>2.0614934174328602E-7</v>
      </c>
      <c r="O38" s="121"/>
      <c r="P38" s="121"/>
      <c r="Q38" s="121"/>
      <c r="R38" s="113"/>
      <c r="S38" s="113"/>
      <c r="T38" s="121"/>
    </row>
    <row r="39" spans="3:20" ht="15.75" thickBot="1" x14ac:dyDescent="0.3">
      <c r="C39" s="952">
        <v>21</v>
      </c>
      <c r="D39" s="953" t="s">
        <v>156</v>
      </c>
      <c r="E39" s="1065">
        <f>C39/1000000</f>
        <v>2.0999999999999999E-5</v>
      </c>
      <c r="F39" s="952">
        <v>462</v>
      </c>
      <c r="G39" s="953" t="s">
        <v>36</v>
      </c>
      <c r="H39" s="954">
        <f t="shared" si="8"/>
        <v>128.33333333333334</v>
      </c>
      <c r="I39" s="1065">
        <f t="shared" si="9"/>
        <v>58356812.467028305</v>
      </c>
      <c r="J39" s="1188">
        <f t="shared" si="10"/>
        <v>972613.54111713846</v>
      </c>
      <c r="K39" s="1189">
        <v>58356812</v>
      </c>
      <c r="L39" s="954">
        <v>972614</v>
      </c>
      <c r="M39" s="1190">
        <f t="shared" si="11"/>
        <v>8.0029783189130383E-9</v>
      </c>
      <c r="N39" s="913">
        <f t="shared" si="12"/>
        <v>-4.7180389963601426E-7</v>
      </c>
      <c r="O39" s="121"/>
      <c r="P39" s="121"/>
      <c r="Q39" s="121"/>
      <c r="R39" s="113"/>
      <c r="S39" s="113"/>
      <c r="T39" s="121"/>
    </row>
    <row r="40" spans="3:20" ht="15.75" thickTop="1" x14ac:dyDescent="0.25">
      <c r="C40" s="1332">
        <v>245</v>
      </c>
      <c r="D40" s="1333" t="s">
        <v>39</v>
      </c>
      <c r="E40" s="1334">
        <f>C40/100</f>
        <v>2.4500000000000002</v>
      </c>
      <c r="F40" s="1332">
        <v>2</v>
      </c>
      <c r="G40" s="1333" t="s">
        <v>37</v>
      </c>
      <c r="H40" s="1370">
        <f>F40/60</f>
        <v>3.3333333333333333E-2</v>
      </c>
      <c r="I40" s="1334">
        <f t="shared" si="9"/>
        <v>0.12992240252399617</v>
      </c>
      <c r="J40" s="1548">
        <f t="shared" si="10"/>
        <v>2.1653733753999363E-3</v>
      </c>
      <c r="K40" s="1549">
        <v>0.12992200000000001</v>
      </c>
      <c r="L40" s="1370">
        <v>2.1653699999999998E-3</v>
      </c>
      <c r="M40" s="1550">
        <f t="shared" si="11"/>
        <v>3.0981877516322033E-6</v>
      </c>
      <c r="N40" s="1267">
        <f t="shared" si="12"/>
        <v>1.5588073516093304E-6</v>
      </c>
      <c r="O40" s="121"/>
      <c r="P40" s="121"/>
      <c r="Q40" s="121"/>
      <c r="R40" s="113"/>
      <c r="S40" s="113"/>
      <c r="T40" s="121"/>
    </row>
    <row r="41" spans="3:20" x14ac:dyDescent="0.25">
      <c r="C41" s="1268">
        <v>12445</v>
      </c>
      <c r="D41" s="1269" t="s">
        <v>40</v>
      </c>
      <c r="E41" s="1254">
        <f>C41*0.3048</f>
        <v>3793.2360000000003</v>
      </c>
      <c r="F41" s="1268">
        <v>13</v>
      </c>
      <c r="G41" s="1269" t="s">
        <v>37</v>
      </c>
      <c r="H41" s="1270">
        <f t="shared" ref="H41:H47" si="13">F41/60</f>
        <v>0.21666666666666667</v>
      </c>
      <c r="I41" s="1254">
        <f t="shared" si="9"/>
        <v>5.4544833492950061E-4</v>
      </c>
      <c r="J41" s="1551">
        <f t="shared" si="10"/>
        <v>9.0908055821583431E-6</v>
      </c>
      <c r="K41" s="1552">
        <v>5.4544800000000003E-4</v>
      </c>
      <c r="L41" s="1500">
        <v>9.0908055821583397E-6</v>
      </c>
      <c r="M41" s="1553">
        <f t="shared" si="11"/>
        <v>6.1404440922316556E-7</v>
      </c>
      <c r="N41" s="1279">
        <f t="shared" si="12"/>
        <v>3.7269874032580394E-16</v>
      </c>
      <c r="O41" s="121"/>
      <c r="P41" s="121"/>
      <c r="Q41" s="121"/>
      <c r="R41" s="113"/>
      <c r="S41" s="113"/>
      <c r="T41" s="121"/>
    </row>
    <row r="42" spans="3:20" x14ac:dyDescent="0.25">
      <c r="C42" s="1268">
        <v>6544</v>
      </c>
      <c r="D42" s="1269" t="s">
        <v>41</v>
      </c>
      <c r="E42" s="1254">
        <f>C42*2.54/100</f>
        <v>166.21760000000003</v>
      </c>
      <c r="F42" s="1268">
        <v>312</v>
      </c>
      <c r="G42" s="1269" t="s">
        <v>37</v>
      </c>
      <c r="H42" s="1270">
        <f t="shared" si="13"/>
        <v>5.2</v>
      </c>
      <c r="I42" s="1254">
        <f t="shared" si="9"/>
        <v>0.29874298657104503</v>
      </c>
      <c r="J42" s="1551">
        <f t="shared" si="10"/>
        <v>4.9790497761840842E-3</v>
      </c>
      <c r="K42" s="1552">
        <v>0.29874299999999998</v>
      </c>
      <c r="L42" s="1270">
        <v>4.9790499999999996E-3</v>
      </c>
      <c r="M42" s="1553">
        <f t="shared" si="11"/>
        <v>-4.4951532091795218E-8</v>
      </c>
      <c r="N42" s="1279">
        <f t="shared" si="12"/>
        <v>-4.4951532022114311E-8</v>
      </c>
      <c r="O42" s="121"/>
      <c r="P42" s="121"/>
      <c r="Q42" s="121"/>
      <c r="R42" s="113"/>
      <c r="S42" s="113"/>
      <c r="T42" s="121"/>
    </row>
    <row r="43" spans="3:20" x14ac:dyDescent="0.25">
      <c r="C43" s="1268">
        <v>876</v>
      </c>
      <c r="D43" s="1269" t="s">
        <v>42</v>
      </c>
      <c r="E43" s="1254">
        <f>C43</f>
        <v>876</v>
      </c>
      <c r="F43" s="1268">
        <v>5325</v>
      </c>
      <c r="G43" s="1269" t="s">
        <v>37</v>
      </c>
      <c r="H43" s="1270">
        <f t="shared" si="13"/>
        <v>88.75</v>
      </c>
      <c r="I43" s="1254">
        <f t="shared" si="9"/>
        <v>0.96746583557573362</v>
      </c>
      <c r="J43" s="1551">
        <f t="shared" si="10"/>
        <v>1.6124430592928892E-2</v>
      </c>
      <c r="K43" s="1552">
        <v>0.96746600000000005</v>
      </c>
      <c r="L43" s="1270">
        <v>1.6124400000000001E-2</v>
      </c>
      <c r="M43" s="1553">
        <f t="shared" si="11"/>
        <v>-1.6995356360738252E-7</v>
      </c>
      <c r="N43" s="1279">
        <f t="shared" si="12"/>
        <v>1.897302897938409E-6</v>
      </c>
      <c r="O43" s="121"/>
      <c r="P43" s="121"/>
      <c r="Q43" s="121"/>
      <c r="R43" s="113"/>
      <c r="S43" s="113"/>
      <c r="T43" s="121"/>
    </row>
    <row r="44" spans="3:20" x14ac:dyDescent="0.25">
      <c r="C44" s="1268">
        <v>98</v>
      </c>
      <c r="D44" s="1269" t="s">
        <v>46</v>
      </c>
      <c r="E44" s="1254">
        <f>C44*63360*2.54/100</f>
        <v>157715.712</v>
      </c>
      <c r="F44" s="1435">
        <v>546</v>
      </c>
      <c r="G44" s="1269" t="s">
        <v>37</v>
      </c>
      <c r="H44" s="1270">
        <f t="shared" si="13"/>
        <v>9.1</v>
      </c>
      <c r="I44" s="1254">
        <f t="shared" si="9"/>
        <v>5.509825104056523E-4</v>
      </c>
      <c r="J44" s="1551">
        <f t="shared" si="10"/>
        <v>9.1830418400942046E-6</v>
      </c>
      <c r="K44" s="1552">
        <v>5.5098300000000001E-4</v>
      </c>
      <c r="L44" s="1500">
        <v>9.1830418400941995E-6</v>
      </c>
      <c r="M44" s="1553">
        <f t="shared" si="11"/>
        <v>-8.8858418998071781E-7</v>
      </c>
      <c r="N44" s="1279">
        <f t="shared" si="12"/>
        <v>5.5343292255691895E-16</v>
      </c>
      <c r="O44" s="121"/>
      <c r="P44" s="121"/>
      <c r="Q44" s="121"/>
      <c r="R44" s="113"/>
      <c r="S44" s="113"/>
      <c r="T44" s="121"/>
    </row>
    <row r="45" spans="3:20" x14ac:dyDescent="0.25">
      <c r="C45" s="1268">
        <v>13</v>
      </c>
      <c r="D45" s="1269" t="s">
        <v>43</v>
      </c>
      <c r="E45" s="1254">
        <f>C45/1000</f>
        <v>1.2999999999999999E-2</v>
      </c>
      <c r="F45" s="1435">
        <v>212</v>
      </c>
      <c r="G45" s="1269" t="s">
        <v>37</v>
      </c>
      <c r="H45" s="1270">
        <f t="shared" si="13"/>
        <v>3.5333333333333332</v>
      </c>
      <c r="I45" s="1254">
        <f t="shared" si="9"/>
        <v>2595.4498411909085</v>
      </c>
      <c r="J45" s="1551">
        <f t="shared" si="10"/>
        <v>43.257497353181812</v>
      </c>
      <c r="K45" s="1552">
        <v>2595.4499999999998</v>
      </c>
      <c r="L45" s="1270">
        <v>43.2575</v>
      </c>
      <c r="M45" s="1553">
        <f t="shared" si="11"/>
        <v>-6.1187501602616741E-8</v>
      </c>
      <c r="N45" s="1279">
        <f t="shared" si="12"/>
        <v>-6.1187501602616741E-8</v>
      </c>
      <c r="O45" s="121"/>
      <c r="P45" s="121"/>
      <c r="Q45" s="121"/>
      <c r="R45" s="113"/>
      <c r="S45" s="113"/>
      <c r="T45" s="121"/>
    </row>
    <row r="46" spans="3:20" x14ac:dyDescent="0.25">
      <c r="C46" s="1268">
        <v>454</v>
      </c>
      <c r="D46" s="1269" t="s">
        <v>44</v>
      </c>
      <c r="E46" s="1254">
        <f>C46*0.9144</f>
        <v>415.13760000000002</v>
      </c>
      <c r="F46" s="1268">
        <v>8675</v>
      </c>
      <c r="G46" s="1269" t="s">
        <v>37</v>
      </c>
      <c r="H46" s="1270">
        <f t="shared" si="13"/>
        <v>144.58333333333334</v>
      </c>
      <c r="I46" s="1254">
        <f t="shared" si="9"/>
        <v>3.3258108427716304</v>
      </c>
      <c r="J46" s="1551">
        <f t="shared" si="10"/>
        <v>5.5430180712860509E-2</v>
      </c>
      <c r="K46" s="1552">
        <v>3.3258100000000002</v>
      </c>
      <c r="L46" s="1270">
        <v>5.5430199999999999E-2</v>
      </c>
      <c r="M46" s="1553">
        <f t="shared" si="11"/>
        <v>2.5340335638518922E-7</v>
      </c>
      <c r="N46" s="1279">
        <f t="shared" si="12"/>
        <v>-3.4795375446433764E-7</v>
      </c>
      <c r="O46" s="121"/>
      <c r="P46" s="121"/>
      <c r="Q46" s="121"/>
      <c r="R46" s="113"/>
      <c r="S46" s="113"/>
      <c r="T46" s="121"/>
    </row>
    <row r="47" spans="3:20" ht="15.75" thickBot="1" x14ac:dyDescent="0.3">
      <c r="C47" s="1347">
        <v>686</v>
      </c>
      <c r="D47" s="1348" t="s">
        <v>156</v>
      </c>
      <c r="E47" s="1351">
        <f>C47/1000000</f>
        <v>6.8599999999999998E-4</v>
      </c>
      <c r="F47" s="1347">
        <v>28</v>
      </c>
      <c r="G47" s="1348" t="s">
        <v>37</v>
      </c>
      <c r="H47" s="1375">
        <f t="shared" si="13"/>
        <v>0.46666666666666667</v>
      </c>
      <c r="I47" s="1351">
        <f t="shared" si="9"/>
        <v>6496.1201261998103</v>
      </c>
      <c r="J47" s="1554">
        <f t="shared" si="10"/>
        <v>108.26866876999684</v>
      </c>
      <c r="K47" s="1555">
        <v>6496.12</v>
      </c>
      <c r="L47" s="1375">
        <v>108.26900000000001</v>
      </c>
      <c r="M47" s="1556">
        <f t="shared" si="11"/>
        <v>1.9426951470506699E-8</v>
      </c>
      <c r="N47" s="1298">
        <f t="shared" si="12"/>
        <v>-3.0593338491409441E-6</v>
      </c>
      <c r="O47" s="121"/>
      <c r="P47" s="121"/>
      <c r="Q47" s="121"/>
      <c r="R47" s="113"/>
      <c r="S47" s="113"/>
      <c r="T47" s="121"/>
    </row>
    <row r="48" spans="3:20" ht="15.75" thickTop="1" x14ac:dyDescent="0.25">
      <c r="C48" s="92">
        <v>980</v>
      </c>
      <c r="D48" s="61" t="s">
        <v>39</v>
      </c>
      <c r="E48" s="45">
        <f>C48/100</f>
        <v>9.8000000000000007</v>
      </c>
      <c r="F48" s="92">
        <v>26</v>
      </c>
      <c r="G48" s="61" t="s">
        <v>31</v>
      </c>
      <c r="H48" s="48">
        <f>F48</f>
        <v>26</v>
      </c>
      <c r="I48" s="45">
        <f t="shared" si="9"/>
        <v>25.334868492179254</v>
      </c>
      <c r="J48" s="727">
        <f t="shared" si="10"/>
        <v>0.42224780820298757</v>
      </c>
      <c r="K48" s="714">
        <v>25.334900000000001</v>
      </c>
      <c r="L48" s="48">
        <v>0.42224800000000001</v>
      </c>
      <c r="M48" s="709">
        <f t="shared" si="11"/>
        <v>-1.2436544028973116E-6</v>
      </c>
      <c r="N48" s="192">
        <f t="shared" si="12"/>
        <v>-4.5422855657918071E-7</v>
      </c>
      <c r="O48" s="121"/>
      <c r="P48" s="121"/>
      <c r="Q48" s="121"/>
      <c r="R48" s="113"/>
      <c r="S48" s="113"/>
      <c r="T48" s="121"/>
    </row>
    <row r="49" spans="3:20" x14ac:dyDescent="0.25">
      <c r="C49" s="72">
        <v>1312</v>
      </c>
      <c r="D49" s="62" t="s">
        <v>40</v>
      </c>
      <c r="E49" s="34">
        <f>C49*0.3048</f>
        <v>399.89760000000001</v>
      </c>
      <c r="F49" s="72">
        <v>84</v>
      </c>
      <c r="G49" s="62" t="s">
        <v>31</v>
      </c>
      <c r="H49" s="35">
        <f t="shared" ref="H49:H55" si="14">F49</f>
        <v>84</v>
      </c>
      <c r="I49" s="34">
        <f t="shared" si="9"/>
        <v>2.0058657845987384</v>
      </c>
      <c r="J49" s="332">
        <f t="shared" si="10"/>
        <v>3.3431096409978975E-2</v>
      </c>
      <c r="K49" s="327">
        <v>2.0058699999999998</v>
      </c>
      <c r="L49" s="35">
        <v>3.3431099999999998E-2</v>
      </c>
      <c r="M49" s="723">
        <f t="shared" si="11"/>
        <v>-2.1015370488660847E-6</v>
      </c>
      <c r="N49" s="157">
        <f t="shared" si="12"/>
        <v>-1.073856800712771E-7</v>
      </c>
      <c r="O49" s="121"/>
      <c r="P49" s="121"/>
      <c r="Q49" s="121"/>
      <c r="R49" s="113"/>
      <c r="S49" s="113"/>
      <c r="T49" s="121"/>
    </row>
    <row r="50" spans="3:20" x14ac:dyDescent="0.25">
      <c r="C50" s="72">
        <v>456</v>
      </c>
      <c r="D50" s="62" t="s">
        <v>41</v>
      </c>
      <c r="E50" s="34">
        <f>C50*2.54/100</f>
        <v>11.5824</v>
      </c>
      <c r="F50" s="72">
        <v>266</v>
      </c>
      <c r="G50" s="62" t="s">
        <v>31</v>
      </c>
      <c r="H50" s="35">
        <f t="shared" si="14"/>
        <v>266</v>
      </c>
      <c r="I50" s="34">
        <f t="shared" si="9"/>
        <v>219.30799244946206</v>
      </c>
      <c r="J50" s="332">
        <f t="shared" si="10"/>
        <v>3.6551332074910343</v>
      </c>
      <c r="K50" s="327">
        <v>219.30799999999999</v>
      </c>
      <c r="L50" s="35">
        <v>3.6551300000000002</v>
      </c>
      <c r="M50" s="723">
        <f t="shared" si="11"/>
        <v>-3.4428922747724857E-8</v>
      </c>
      <c r="N50" s="157">
        <f t="shared" si="12"/>
        <v>8.7753054458691772E-7</v>
      </c>
      <c r="O50" s="121"/>
      <c r="P50" s="121"/>
      <c r="Q50" s="121"/>
      <c r="R50" s="113"/>
      <c r="S50" s="113"/>
      <c r="T50" s="121"/>
    </row>
    <row r="51" spans="3:20" x14ac:dyDescent="0.25">
      <c r="C51" s="72">
        <v>68</v>
      </c>
      <c r="D51" s="62" t="s">
        <v>42</v>
      </c>
      <c r="E51" s="34">
        <f>C51</f>
        <v>68</v>
      </c>
      <c r="F51" s="310">
        <v>68</v>
      </c>
      <c r="G51" s="62" t="s">
        <v>31</v>
      </c>
      <c r="H51" s="35">
        <f t="shared" si="14"/>
        <v>68</v>
      </c>
      <c r="I51" s="34">
        <f t="shared" si="9"/>
        <v>9.5492965855137193</v>
      </c>
      <c r="J51" s="332">
        <f t="shared" si="10"/>
        <v>0.15915494309189532</v>
      </c>
      <c r="K51" s="327">
        <v>9.5493000000000006</v>
      </c>
      <c r="L51" s="35">
        <v>0.15915499999999999</v>
      </c>
      <c r="M51" s="723">
        <f t="shared" si="11"/>
        <v>-3.5756416723428233E-7</v>
      </c>
      <c r="N51" s="157">
        <f t="shared" si="12"/>
        <v>-3.575641671412725E-7</v>
      </c>
      <c r="O51" s="121"/>
      <c r="P51" s="121"/>
      <c r="Q51" s="121"/>
      <c r="R51" s="113"/>
      <c r="S51" s="113"/>
      <c r="T51" s="121"/>
    </row>
    <row r="52" spans="3:20" x14ac:dyDescent="0.25">
      <c r="C52" s="72">
        <v>943</v>
      </c>
      <c r="D52" s="62" t="s">
        <v>46</v>
      </c>
      <c r="E52" s="34">
        <f>C52*63360*2.54/100</f>
        <v>1517611.392</v>
      </c>
      <c r="F52" s="310">
        <v>423</v>
      </c>
      <c r="G52" s="62" t="s">
        <v>31</v>
      </c>
      <c r="H52" s="35">
        <f t="shared" si="14"/>
        <v>423</v>
      </c>
      <c r="I52" s="34">
        <f t="shared" si="9"/>
        <v>2.6616513799023354E-3</v>
      </c>
      <c r="J52" s="332">
        <f t="shared" si="10"/>
        <v>4.4360856331705587E-5</v>
      </c>
      <c r="K52" s="327">
        <v>2.6616500000000002E-3</v>
      </c>
      <c r="L52" s="722">
        <v>4.43608563317056E-5</v>
      </c>
      <c r="M52" s="723">
        <f t="shared" si="11"/>
        <v>5.1843841970114773E-7</v>
      </c>
      <c r="N52" s="157">
        <f t="shared" si="12"/>
        <v>-3.055064369075884E-16</v>
      </c>
      <c r="O52" s="121"/>
      <c r="P52" s="121"/>
      <c r="Q52" s="121"/>
      <c r="R52" s="113"/>
      <c r="S52" s="113"/>
      <c r="T52" s="121"/>
    </row>
    <row r="53" spans="3:20" x14ac:dyDescent="0.25">
      <c r="C53" s="72">
        <v>1513</v>
      </c>
      <c r="D53" s="62" t="s">
        <v>43</v>
      </c>
      <c r="E53" s="34">
        <f>C53/1000</f>
        <v>1.5129999999999999</v>
      </c>
      <c r="F53" s="310">
        <v>9579</v>
      </c>
      <c r="G53" s="62" t="s">
        <v>31</v>
      </c>
      <c r="H53" s="35">
        <f t="shared" si="14"/>
        <v>9579</v>
      </c>
      <c r="I53" s="34">
        <f t="shared" si="9"/>
        <v>60457.840048007885</v>
      </c>
      <c r="J53" s="332">
        <f t="shared" si="10"/>
        <v>1007.6306674667981</v>
      </c>
      <c r="K53" s="327">
        <v>60457.8</v>
      </c>
      <c r="L53" s="35">
        <v>1007.63</v>
      </c>
      <c r="M53" s="723">
        <f t="shared" si="11"/>
        <v>6.6241215118886159E-7</v>
      </c>
      <c r="N53" s="157">
        <f t="shared" si="12"/>
        <v>6.6241215121142687E-7</v>
      </c>
      <c r="O53" s="121"/>
      <c r="P53" s="121"/>
      <c r="Q53" s="121"/>
      <c r="R53" s="113"/>
      <c r="S53" s="113"/>
      <c r="T53" s="121"/>
    </row>
    <row r="54" spans="3:20" x14ac:dyDescent="0.25">
      <c r="C54" s="72">
        <v>9670</v>
      </c>
      <c r="D54" s="62" t="s">
        <v>44</v>
      </c>
      <c r="E54" s="34">
        <f>C54*0.9144</f>
        <v>8842.2479999999996</v>
      </c>
      <c r="F54" s="72">
        <v>7</v>
      </c>
      <c r="G54" s="62" t="s">
        <v>31</v>
      </c>
      <c r="H54" s="35">
        <f t="shared" si="14"/>
        <v>7</v>
      </c>
      <c r="I54" s="34">
        <f t="shared" si="9"/>
        <v>7.5597377610983141E-3</v>
      </c>
      <c r="J54" s="332">
        <f t="shared" si="10"/>
        <v>1.2599562935163857E-4</v>
      </c>
      <c r="K54" s="327">
        <v>7.5597399999999997E-3</v>
      </c>
      <c r="L54" s="35">
        <v>1.2599599999999999E-4</v>
      </c>
      <c r="M54" s="723">
        <f t="shared" si="11"/>
        <v>-2.961612897601065E-7</v>
      </c>
      <c r="N54" s="157">
        <f t="shared" si="12"/>
        <v>-2.9417557047794852E-6</v>
      </c>
      <c r="O54" s="121"/>
      <c r="P54" s="121"/>
      <c r="Q54" s="121"/>
      <c r="R54" s="113"/>
      <c r="S54" s="113"/>
      <c r="T54" s="121"/>
    </row>
    <row r="55" spans="3:20" ht="15.75" thickBot="1" x14ac:dyDescent="0.3">
      <c r="C55" s="141">
        <v>579</v>
      </c>
      <c r="D55" s="290" t="s">
        <v>156</v>
      </c>
      <c r="E55" s="294">
        <f>C55/1000000</f>
        <v>5.7899999999999998E-4</v>
      </c>
      <c r="F55" s="141">
        <v>42</v>
      </c>
      <c r="G55" s="290" t="s">
        <v>31</v>
      </c>
      <c r="H55" s="291">
        <f t="shared" si="14"/>
        <v>42</v>
      </c>
      <c r="I55" s="294">
        <f t="shared" si="9"/>
        <v>692695.08910462225</v>
      </c>
      <c r="J55" s="726">
        <f t="shared" si="10"/>
        <v>11544.918151743705</v>
      </c>
      <c r="K55" s="716">
        <v>692695</v>
      </c>
      <c r="L55" s="291">
        <v>11544.9</v>
      </c>
      <c r="M55" s="706">
        <f t="shared" si="11"/>
        <v>1.2863469606575882E-7</v>
      </c>
      <c r="N55" s="164">
        <f t="shared" si="12"/>
        <v>1.5722713202783771E-6</v>
      </c>
      <c r="O55" s="121"/>
      <c r="P55" s="121"/>
      <c r="Q55" s="121"/>
      <c r="R55" s="113"/>
      <c r="S55" s="113"/>
      <c r="T55" s="121"/>
    </row>
    <row r="56" spans="3:20" ht="15.75" thickTop="1" x14ac:dyDescent="0.25">
      <c r="C56" s="382">
        <v>5325</v>
      </c>
      <c r="D56" s="383" t="s">
        <v>39</v>
      </c>
      <c r="E56" s="384">
        <f>C56/100</f>
        <v>53.25</v>
      </c>
      <c r="F56" s="382">
        <v>6456</v>
      </c>
      <c r="G56" s="383" t="s">
        <v>38</v>
      </c>
      <c r="H56" s="390">
        <f>F56*1609.4/3600</f>
        <v>2886.1906666666669</v>
      </c>
      <c r="I56" s="384">
        <f t="shared" si="9"/>
        <v>517.57916766838628</v>
      </c>
      <c r="J56" s="728">
        <f t="shared" si="10"/>
        <v>8.6263194611397704</v>
      </c>
      <c r="K56" s="718">
        <v>517.57899999999995</v>
      </c>
      <c r="L56" s="390">
        <v>8.6263199999999998</v>
      </c>
      <c r="M56" s="713">
        <f t="shared" si="11"/>
        <v>3.2394732400170547E-7</v>
      </c>
      <c r="N56" s="212">
        <f t="shared" si="12"/>
        <v>-6.2466992064700278E-8</v>
      </c>
      <c r="O56" s="121"/>
      <c r="P56" s="121"/>
      <c r="Q56" s="121"/>
      <c r="R56" s="113"/>
      <c r="S56" s="113"/>
      <c r="T56" s="121"/>
    </row>
    <row r="57" spans="3:20" x14ac:dyDescent="0.25">
      <c r="C57" s="213">
        <v>8468</v>
      </c>
      <c r="D57" s="214" t="s">
        <v>40</v>
      </c>
      <c r="E57" s="215">
        <f>C57*0.3048</f>
        <v>2581.0464000000002</v>
      </c>
      <c r="F57" s="213">
        <v>423</v>
      </c>
      <c r="G57" s="214" t="s">
        <v>38</v>
      </c>
      <c r="H57" s="216">
        <f t="shared" ref="H57:H63" si="15">F57*1609.4/3600</f>
        <v>189.10450000000003</v>
      </c>
      <c r="I57" s="215">
        <f t="shared" si="9"/>
        <v>0.69964451478101275</v>
      </c>
      <c r="J57" s="724">
        <f t="shared" si="10"/>
        <v>1.166074191301688E-2</v>
      </c>
      <c r="K57" s="435">
        <v>0.69964499999999996</v>
      </c>
      <c r="L57" s="216">
        <v>1.16607E-2</v>
      </c>
      <c r="M57" s="725">
        <f t="shared" si="11"/>
        <v>-6.9352217727832654E-7</v>
      </c>
      <c r="N57" s="223">
        <f t="shared" si="12"/>
        <v>3.5943696544126165E-6</v>
      </c>
      <c r="O57" s="121"/>
      <c r="P57" s="121"/>
      <c r="Q57" s="121"/>
      <c r="R57" s="113"/>
      <c r="S57" s="113"/>
      <c r="T57" s="121"/>
    </row>
    <row r="58" spans="3:20" x14ac:dyDescent="0.25">
      <c r="C58" s="213">
        <v>89</v>
      </c>
      <c r="D58" s="214" t="s">
        <v>41</v>
      </c>
      <c r="E58" s="215">
        <f>C58*2.54/100</f>
        <v>2.2606000000000002</v>
      </c>
      <c r="F58" s="213">
        <v>5325</v>
      </c>
      <c r="G58" s="214" t="s">
        <v>38</v>
      </c>
      <c r="H58" s="216">
        <f t="shared" si="15"/>
        <v>2380.5708333333332</v>
      </c>
      <c r="I58" s="215">
        <f t="shared" si="9"/>
        <v>10056.081098081726</v>
      </c>
      <c r="J58" s="724">
        <f t="shared" si="10"/>
        <v>167.60135163469542</v>
      </c>
      <c r="K58" s="435">
        <v>10056.1</v>
      </c>
      <c r="L58" s="216">
        <v>167.601</v>
      </c>
      <c r="M58" s="725">
        <f t="shared" si="11"/>
        <v>-1.8796505408084774E-6</v>
      </c>
      <c r="N58" s="223">
        <f t="shared" si="12"/>
        <v>2.0980421219180459E-6</v>
      </c>
      <c r="O58" s="121"/>
      <c r="P58" s="121"/>
      <c r="Q58" s="121"/>
      <c r="R58" s="113"/>
      <c r="S58" s="113"/>
      <c r="T58" s="121"/>
    </row>
    <row r="59" spans="3:20" x14ac:dyDescent="0.25">
      <c r="C59" s="213">
        <v>24</v>
      </c>
      <c r="D59" s="214" t="s">
        <v>42</v>
      </c>
      <c r="E59" s="215">
        <f>C59</f>
        <v>24</v>
      </c>
      <c r="F59" s="412">
        <v>52</v>
      </c>
      <c r="G59" s="214" t="s">
        <v>38</v>
      </c>
      <c r="H59" s="216">
        <f t="shared" si="15"/>
        <v>23.24688888888889</v>
      </c>
      <c r="I59" s="215">
        <f t="shared" si="9"/>
        <v>9.2496431954368141</v>
      </c>
      <c r="J59" s="724">
        <f t="shared" si="10"/>
        <v>0.15416071992394689</v>
      </c>
      <c r="K59" s="435">
        <v>9.2496399999999994</v>
      </c>
      <c r="L59" s="216">
        <v>0.15416099999999999</v>
      </c>
      <c r="M59" s="725">
        <f t="shared" si="11"/>
        <v>3.4546595443631104E-7</v>
      </c>
      <c r="N59" s="223">
        <f t="shared" si="12"/>
        <v>-1.8167796131065391E-6</v>
      </c>
      <c r="O59" s="121"/>
      <c r="P59" s="121"/>
      <c r="Q59" s="121"/>
      <c r="R59" s="113"/>
      <c r="S59" s="113"/>
      <c r="T59" s="121"/>
    </row>
    <row r="60" spans="3:20" x14ac:dyDescent="0.25">
      <c r="C60" s="213">
        <v>42</v>
      </c>
      <c r="D60" s="214" t="s">
        <v>46</v>
      </c>
      <c r="E60" s="215">
        <f>C60*63360*2.54/100</f>
        <v>67592.448000000004</v>
      </c>
      <c r="F60" s="412">
        <v>643</v>
      </c>
      <c r="G60" s="214" t="s">
        <v>38</v>
      </c>
      <c r="H60" s="216">
        <f t="shared" si="15"/>
        <v>287.45672222222225</v>
      </c>
      <c r="I60" s="215">
        <f t="shared" si="9"/>
        <v>4.0611186267430835E-2</v>
      </c>
      <c r="J60" s="724">
        <f t="shared" si="10"/>
        <v>6.7685310445718058E-4</v>
      </c>
      <c r="K60" s="435">
        <v>4.06112E-2</v>
      </c>
      <c r="L60" s="216">
        <v>6.7685300000000005E-4</v>
      </c>
      <c r="M60" s="725">
        <f t="shared" si="11"/>
        <v>-3.3814745215066912E-7</v>
      </c>
      <c r="N60" s="223">
        <f t="shared" si="12"/>
        <v>1.5432769658239419E-7</v>
      </c>
      <c r="O60" s="121"/>
      <c r="P60" s="121"/>
      <c r="Q60" s="121"/>
      <c r="R60" s="113"/>
      <c r="S60" s="113"/>
      <c r="T60" s="121"/>
    </row>
    <row r="61" spans="3:20" x14ac:dyDescent="0.25">
      <c r="C61" s="213">
        <v>57</v>
      </c>
      <c r="D61" s="214" t="s">
        <v>43</v>
      </c>
      <c r="E61" s="215">
        <f>C61/1000</f>
        <v>5.7000000000000002E-2</v>
      </c>
      <c r="F61" s="412">
        <v>63</v>
      </c>
      <c r="G61" s="214" t="s">
        <v>38</v>
      </c>
      <c r="H61" s="216">
        <f t="shared" si="15"/>
        <v>28.164500000000004</v>
      </c>
      <c r="I61" s="215">
        <f t="shared" si="9"/>
        <v>4718.4414681175649</v>
      </c>
      <c r="J61" s="724">
        <f t="shared" si="10"/>
        <v>78.640691135292755</v>
      </c>
      <c r="K61" s="435">
        <v>4718.4399999999996</v>
      </c>
      <c r="L61" s="216">
        <v>78.640699999999995</v>
      </c>
      <c r="M61" s="725">
        <f t="shared" si="11"/>
        <v>3.1114459620397111E-7</v>
      </c>
      <c r="N61" s="223">
        <f t="shared" si="12"/>
        <v>-1.1272417767810439E-7</v>
      </c>
      <c r="O61" s="121"/>
      <c r="P61" s="121"/>
      <c r="Q61" s="121"/>
      <c r="R61" s="113"/>
      <c r="S61" s="113"/>
      <c r="T61" s="121"/>
    </row>
    <row r="62" spans="3:20" x14ac:dyDescent="0.25">
      <c r="C62" s="213">
        <v>67876</v>
      </c>
      <c r="D62" s="214" t="s">
        <v>44</v>
      </c>
      <c r="E62" s="215">
        <f>C62*0.9144</f>
        <v>62065.814400000003</v>
      </c>
      <c r="F62" s="412">
        <v>636</v>
      </c>
      <c r="G62" s="214" t="s">
        <v>38</v>
      </c>
      <c r="H62" s="216">
        <f t="shared" si="15"/>
        <v>284.32733333333334</v>
      </c>
      <c r="I62" s="215">
        <f t="shared" si="9"/>
        <v>4.3745918097035742E-2</v>
      </c>
      <c r="J62" s="724">
        <f t="shared" si="10"/>
        <v>7.2909863495059575E-4</v>
      </c>
      <c r="K62" s="435">
        <v>4.3745899999999997E-2</v>
      </c>
      <c r="L62" s="216">
        <v>7.2909899999999998E-4</v>
      </c>
      <c r="M62" s="725">
        <f t="shared" si="11"/>
        <v>4.1368512840020872E-7</v>
      </c>
      <c r="N62" s="223">
        <f t="shared" si="12"/>
        <v>-5.0068589725148134E-7</v>
      </c>
      <c r="O62" s="121"/>
      <c r="P62" s="121"/>
      <c r="Q62" s="121"/>
      <c r="R62" s="113"/>
      <c r="S62" s="113"/>
      <c r="T62" s="121"/>
    </row>
    <row r="63" spans="3:20" ht="15.75" thickBot="1" x14ac:dyDescent="0.3">
      <c r="C63" s="413">
        <v>987</v>
      </c>
      <c r="D63" s="398" t="s">
        <v>156</v>
      </c>
      <c r="E63" s="399">
        <f>C63/1000000</f>
        <v>9.8700000000000003E-4</v>
      </c>
      <c r="F63" s="397">
        <v>65</v>
      </c>
      <c r="G63" s="398" t="s">
        <v>38</v>
      </c>
      <c r="H63" s="410">
        <f t="shared" si="15"/>
        <v>29.058611111111112</v>
      </c>
      <c r="I63" s="399">
        <f t="shared" si="9"/>
        <v>281144.17007406725</v>
      </c>
      <c r="J63" s="729">
        <f t="shared" si="10"/>
        <v>4685.736167901121</v>
      </c>
      <c r="K63" s="436">
        <v>281144</v>
      </c>
      <c r="L63" s="410">
        <v>4685.74</v>
      </c>
      <c r="M63" s="448">
        <f t="shared" si="11"/>
        <v>6.0493542230787803E-7</v>
      </c>
      <c r="N63" s="236">
        <f t="shared" si="12"/>
        <v>-8.1782216101404376E-7</v>
      </c>
      <c r="O63" s="121"/>
      <c r="P63" s="121"/>
      <c r="Q63" s="121"/>
      <c r="R63" s="113"/>
      <c r="S63" s="113"/>
      <c r="T63" s="121"/>
    </row>
    <row r="64" spans="3:20" ht="15.75" thickTop="1" x14ac:dyDescent="0.25">
      <c r="O64" s="121"/>
      <c r="P64" s="121"/>
      <c r="Q64" s="121"/>
      <c r="R64" s="121"/>
      <c r="S64" s="121"/>
      <c r="T64" s="121"/>
    </row>
    <row r="65" spans="3:32" ht="15.75" thickBot="1" x14ac:dyDescent="0.3">
      <c r="O65" s="121"/>
      <c r="P65" s="121"/>
      <c r="Q65" s="121"/>
      <c r="R65" s="121"/>
      <c r="S65" s="121"/>
      <c r="T65" s="121"/>
    </row>
    <row r="66" spans="3:32" ht="15.75" thickTop="1" x14ac:dyDescent="0.25">
      <c r="C66" s="2509" t="s">
        <v>0</v>
      </c>
      <c r="D66" s="2516"/>
      <c r="E66" s="2516"/>
      <c r="F66" s="2516"/>
      <c r="G66" s="2516"/>
      <c r="H66" s="2523"/>
      <c r="I66" s="2483" t="s">
        <v>158</v>
      </c>
      <c r="J66" s="2484"/>
      <c r="K66" s="2484"/>
      <c r="L66" s="2484"/>
      <c r="M66" s="2484"/>
      <c r="N66" s="2484"/>
      <c r="O66" s="2484"/>
      <c r="P66" s="2484"/>
      <c r="Q66" s="2488" t="s">
        <v>17</v>
      </c>
      <c r="R66" s="2489"/>
      <c r="S66" s="2489"/>
      <c r="T66" s="2489"/>
      <c r="U66" s="2489"/>
      <c r="V66" s="2489"/>
      <c r="W66" s="2489"/>
      <c r="X66" s="2495"/>
      <c r="Y66" s="2484" t="s">
        <v>8</v>
      </c>
      <c r="Z66" s="2484"/>
      <c r="AA66" s="2484"/>
      <c r="AB66" s="2484"/>
      <c r="AC66" s="2484"/>
      <c r="AD66" s="2484"/>
      <c r="AE66" s="2484"/>
      <c r="AF66" s="2485"/>
    </row>
    <row r="67" spans="3:32" ht="15.75" thickBot="1" x14ac:dyDescent="0.3">
      <c r="C67" s="2486" t="s">
        <v>149</v>
      </c>
      <c r="D67" s="2487"/>
      <c r="E67" s="2496"/>
      <c r="F67" s="2486" t="s">
        <v>150</v>
      </c>
      <c r="G67" s="2487"/>
      <c r="H67" s="2496"/>
      <c r="I67" s="2480" t="s">
        <v>151</v>
      </c>
      <c r="J67" s="2481"/>
      <c r="K67" s="2481"/>
      <c r="L67" s="2481"/>
      <c r="M67" s="2481"/>
      <c r="N67" s="2481"/>
      <c r="O67" s="2481"/>
      <c r="P67" s="2481"/>
      <c r="Q67" s="2486" t="s">
        <v>151</v>
      </c>
      <c r="R67" s="2487"/>
      <c r="S67" s="2487"/>
      <c r="T67" s="2487"/>
      <c r="U67" s="2487"/>
      <c r="V67" s="2487"/>
      <c r="W67" s="2487"/>
      <c r="X67" s="2496"/>
      <c r="Y67" s="2481" t="s">
        <v>151</v>
      </c>
      <c r="Z67" s="2481"/>
      <c r="AA67" s="2481"/>
      <c r="AB67" s="2481"/>
      <c r="AC67" s="2481"/>
      <c r="AD67" s="2481"/>
      <c r="AE67" s="2481"/>
      <c r="AF67" s="2482"/>
    </row>
    <row r="68" spans="3:32" ht="15.75" thickBot="1" x14ac:dyDescent="0.3">
      <c r="C68" s="82" t="s">
        <v>3</v>
      </c>
      <c r="D68" s="66" t="s">
        <v>4</v>
      </c>
      <c r="E68" s="84" t="s">
        <v>113</v>
      </c>
      <c r="F68" s="82" t="s">
        <v>3</v>
      </c>
      <c r="G68" s="66" t="s">
        <v>4</v>
      </c>
      <c r="H68" s="85" t="s">
        <v>31</v>
      </c>
      <c r="I68" s="86" t="s">
        <v>39</v>
      </c>
      <c r="J68" s="87" t="s">
        <v>40</v>
      </c>
      <c r="K68" s="87" t="s">
        <v>41</v>
      </c>
      <c r="L68" s="87" t="s">
        <v>42</v>
      </c>
      <c r="M68" s="87" t="s">
        <v>46</v>
      </c>
      <c r="N68" s="87" t="s">
        <v>43</v>
      </c>
      <c r="O68" s="87" t="s">
        <v>44</v>
      </c>
      <c r="P68" s="89" t="s">
        <v>156</v>
      </c>
      <c r="Q68" s="82" t="s">
        <v>39</v>
      </c>
      <c r="R68" s="83" t="s">
        <v>40</v>
      </c>
      <c r="S68" s="83" t="s">
        <v>41</v>
      </c>
      <c r="T68" s="83" t="s">
        <v>42</v>
      </c>
      <c r="U68" s="83" t="s">
        <v>46</v>
      </c>
      <c r="V68" s="83" t="s">
        <v>43</v>
      </c>
      <c r="W68" s="83" t="s">
        <v>44</v>
      </c>
      <c r="X68" s="85" t="s">
        <v>156</v>
      </c>
      <c r="Y68" s="89" t="s">
        <v>39</v>
      </c>
      <c r="Z68" s="87" t="s">
        <v>40</v>
      </c>
      <c r="AA68" s="87" t="s">
        <v>41</v>
      </c>
      <c r="AB68" s="87" t="s">
        <v>42</v>
      </c>
      <c r="AC68" s="87" t="s">
        <v>46</v>
      </c>
      <c r="AD68" s="87" t="s">
        <v>43</v>
      </c>
      <c r="AE68" s="87" t="s">
        <v>44</v>
      </c>
      <c r="AF68" s="88" t="s">
        <v>156</v>
      </c>
    </row>
    <row r="69" spans="3:32" ht="15.75" thickTop="1" x14ac:dyDescent="0.25">
      <c r="C69" s="1091">
        <v>850</v>
      </c>
      <c r="D69" s="1052" t="s">
        <v>113</v>
      </c>
      <c r="E69" s="1055">
        <f>C69</f>
        <v>850</v>
      </c>
      <c r="F69" s="1167">
        <v>667</v>
      </c>
      <c r="G69" s="1052" t="s">
        <v>36</v>
      </c>
      <c r="H69" s="1055">
        <f>F69*1000/3600</f>
        <v>185.27777777777777</v>
      </c>
      <c r="I69" s="1168">
        <f>L69*100</f>
        <v>208.14970008292983</v>
      </c>
      <c r="J69" s="1169">
        <f>L69/0.3048</f>
        <v>6.8290584016709248</v>
      </c>
      <c r="K69" s="1170">
        <f>L69*100/2.54</f>
        <v>81.948700820051116</v>
      </c>
      <c r="L69" s="1169">
        <f>(60*H69)/(2*PI()*E69)</f>
        <v>2.0814970008292981</v>
      </c>
      <c r="M69" s="1171">
        <f>L69/63360/2.54*100</f>
        <v>1.2933822730437359E-3</v>
      </c>
      <c r="N69" s="1172">
        <f>L69*1000</f>
        <v>2081.497000829298</v>
      </c>
      <c r="O69" s="1169">
        <f>L69/0.9144</f>
        <v>2.2763528005569751</v>
      </c>
      <c r="P69" s="1173">
        <f>L69*1000000</f>
        <v>2081497.000829298</v>
      </c>
      <c r="Q69" s="1174">
        <v>208.15</v>
      </c>
      <c r="R69" s="1172">
        <v>6.8290600000000001</v>
      </c>
      <c r="S69" s="1172">
        <v>81.948700000000002</v>
      </c>
      <c r="T69" s="1172">
        <v>2.0815000000000001</v>
      </c>
      <c r="U69" s="1172">
        <v>1.29338E-3</v>
      </c>
      <c r="V69" s="1172">
        <v>2081.5</v>
      </c>
      <c r="W69" s="1172">
        <v>2.2763499999999999</v>
      </c>
      <c r="X69" s="1175">
        <v>2081497</v>
      </c>
      <c r="Y69" s="1176">
        <f t="shared" ref="Y69:Y76" si="16" xml:space="preserve"> (I69-Q69)/I69</f>
        <v>-1.4408719784864142E-6</v>
      </c>
      <c r="Z69" s="981">
        <f t="shared" ref="Z69:AF69" si="17" xml:space="preserve"> (J69-R69)/J69</f>
        <v>-2.3404823641909707E-7</v>
      </c>
      <c r="AA69" s="981">
        <f t="shared" si="17"/>
        <v>1.0006883636117292E-8</v>
      </c>
      <c r="AB69" s="981">
        <f t="shared" si="17"/>
        <v>-1.4408719785888226E-6</v>
      </c>
      <c r="AC69" s="981">
        <f t="shared" si="17"/>
        <v>1.7574415416440857E-6</v>
      </c>
      <c r="AD69" s="981">
        <f t="shared" si="17"/>
        <v>-1.4408719785683409E-6</v>
      </c>
      <c r="AE69" s="981">
        <f t="shared" si="17"/>
        <v>1.2302824828066901E-6</v>
      </c>
      <c r="AF69" s="982">
        <f t="shared" si="17"/>
        <v>3.9841424171214174E-10</v>
      </c>
    </row>
    <row r="70" spans="3:32" ht="15.75" thickBot="1" x14ac:dyDescent="0.3">
      <c r="C70" s="1064">
        <v>9050</v>
      </c>
      <c r="D70" s="953" t="s">
        <v>114</v>
      </c>
      <c r="E70" s="954">
        <f>C70*60</f>
        <v>543000</v>
      </c>
      <c r="F70" s="976">
        <v>1333</v>
      </c>
      <c r="G70" s="953" t="s">
        <v>36</v>
      </c>
      <c r="H70" s="954">
        <f>F70*1000/3600</f>
        <v>370.27777777777777</v>
      </c>
      <c r="I70" s="1177">
        <f t="shared" ref="I70:I76" si="18">L70*100</f>
        <v>0.651177222656527</v>
      </c>
      <c r="J70" s="1178">
        <f t="shared" ref="J70:J76" si="19">L70/0.3048</f>
        <v>2.136408210815377E-2</v>
      </c>
      <c r="K70" s="1179">
        <f t="shared" ref="K70:K76" si="20">L70*100/2.54</f>
        <v>0.2563689852978453</v>
      </c>
      <c r="L70" s="1178">
        <f t="shared" ref="L70:L76" si="21">(60*H70)/(2*PI()*E70)</f>
        <v>6.5117722265652699E-3</v>
      </c>
      <c r="M70" s="957">
        <f t="shared" ref="M70:M76" si="22">L70/63360/2.54*100</f>
        <v>4.0462276719988208E-6</v>
      </c>
      <c r="N70" s="956">
        <f t="shared" ref="N70:N76" si="23">L70*1000</f>
        <v>6.5117722265652702</v>
      </c>
      <c r="O70" s="1178">
        <f t="shared" ref="O70:O76" si="24">L70/0.9144</f>
        <v>7.121360702717924E-3</v>
      </c>
      <c r="P70" s="1180">
        <f t="shared" ref="P70:P76" si="25">L70*1000000</f>
        <v>6511.7722265652701</v>
      </c>
      <c r="Q70" s="1064">
        <v>0.65117700000000001</v>
      </c>
      <c r="R70" s="1066">
        <v>2.13641E-2</v>
      </c>
      <c r="S70" s="1066">
        <v>0.25636900000000001</v>
      </c>
      <c r="T70" s="1066">
        <v>6.5117700000000001E-3</v>
      </c>
      <c r="U70" s="1119">
        <v>4.04622767199882E-6</v>
      </c>
      <c r="V70" s="1066">
        <v>6.5117700000000003</v>
      </c>
      <c r="W70" s="1066">
        <v>7.1213600000000002E-3</v>
      </c>
      <c r="X70" s="954">
        <v>6511.77</v>
      </c>
      <c r="Y70" s="1116">
        <f t="shared" si="16"/>
        <v>3.4192923100912366E-7</v>
      </c>
      <c r="Z70" s="912">
        <f t="shared" ref="Z70:AF76" si="26" xml:space="preserve"> (J70-R70)/J70</f>
        <v>-8.3747320103417112E-7</v>
      </c>
      <c r="AA70" s="912">
        <f t="shared" si="26"/>
        <v>-5.7347633914467448E-8</v>
      </c>
      <c r="AB70" s="912">
        <f t="shared" si="26"/>
        <v>3.4192923099313978E-7</v>
      </c>
      <c r="AC70" s="912">
        <f t="shared" si="26"/>
        <v>2.0933892403436344E-16</v>
      </c>
      <c r="AD70" s="912">
        <f t="shared" si="26"/>
        <v>3.4192923100912361E-7</v>
      </c>
      <c r="AE70" s="912">
        <f t="shared" si="26"/>
        <v>9.8677479363316646E-8</v>
      </c>
      <c r="AF70" s="913">
        <f t="shared" si="26"/>
        <v>3.4192923096765934E-7</v>
      </c>
    </row>
    <row r="71" spans="3:32" ht="15.75" thickTop="1" x14ac:dyDescent="0.25">
      <c r="C71" s="1332">
        <v>8</v>
      </c>
      <c r="D71" s="1333" t="s">
        <v>113</v>
      </c>
      <c r="E71" s="1370">
        <f>C71</f>
        <v>8</v>
      </c>
      <c r="F71" s="1335">
        <v>8400</v>
      </c>
      <c r="G71" s="1333" t="s">
        <v>37</v>
      </c>
      <c r="H71" s="1370">
        <f>F71/60</f>
        <v>140</v>
      </c>
      <c r="I71" s="1539">
        <f t="shared" si="18"/>
        <v>16711.269024649009</v>
      </c>
      <c r="J71" s="1540">
        <f t="shared" si="19"/>
        <v>548.26998112365516</v>
      </c>
      <c r="K71" s="1538">
        <f t="shared" si="20"/>
        <v>6579.2397734838614</v>
      </c>
      <c r="L71" s="1540">
        <f t="shared" si="21"/>
        <v>167.1126902464901</v>
      </c>
      <c r="M71" s="1357">
        <f t="shared" si="22"/>
        <v>0.10383901157644986</v>
      </c>
      <c r="N71" s="1537">
        <f t="shared" si="23"/>
        <v>167112.69024649009</v>
      </c>
      <c r="O71" s="1540">
        <f t="shared" si="24"/>
        <v>182.75666037455173</v>
      </c>
      <c r="P71" s="1428">
        <f t="shared" si="25"/>
        <v>167112690.24649009</v>
      </c>
      <c r="Q71" s="1431">
        <v>16711.3</v>
      </c>
      <c r="R71" s="1442">
        <v>548.27</v>
      </c>
      <c r="S71" s="1442">
        <v>6579.24</v>
      </c>
      <c r="T71" s="1442">
        <v>167.113</v>
      </c>
      <c r="U71" s="1442">
        <v>0.103839</v>
      </c>
      <c r="V71" s="1442">
        <v>167113</v>
      </c>
      <c r="W71" s="1442">
        <v>182.75700000000001</v>
      </c>
      <c r="X71" s="1370">
        <v>167112690</v>
      </c>
      <c r="Y71" s="1432">
        <f t="shared" si="16"/>
        <v>-1.8535606688133026E-6</v>
      </c>
      <c r="Z71" s="1266">
        <f t="shared" si="26"/>
        <v>-3.4428922747724857E-8</v>
      </c>
      <c r="AA71" s="1266">
        <f t="shared" si="26"/>
        <v>-3.4428922816843381E-8</v>
      </c>
      <c r="AB71" s="1266">
        <f t="shared" si="26"/>
        <v>-1.8535606687860906E-6</v>
      </c>
      <c r="AC71" s="1266">
        <f t="shared" si="26"/>
        <v>1.1148459214439941E-7</v>
      </c>
      <c r="AD71" s="1266">
        <f t="shared" si="26"/>
        <v>-1.853560668856842E-6</v>
      </c>
      <c r="AE71" s="1266">
        <f t="shared" si="26"/>
        <v>-1.8583478576405652E-6</v>
      </c>
      <c r="AF71" s="1267">
        <f t="shared" si="26"/>
        <v>1.4749932558793873E-9</v>
      </c>
    </row>
    <row r="72" spans="3:32" ht="15.75" thickBot="1" x14ac:dyDescent="0.3">
      <c r="C72" s="1440">
        <v>730</v>
      </c>
      <c r="D72" s="1348" t="s">
        <v>114</v>
      </c>
      <c r="E72" s="1375">
        <f>C72*60</f>
        <v>43800</v>
      </c>
      <c r="F72" s="1350">
        <v>266</v>
      </c>
      <c r="G72" s="1348" t="s">
        <v>37</v>
      </c>
      <c r="H72" s="1375">
        <f>F72/60</f>
        <v>4.4333333333333336</v>
      </c>
      <c r="I72" s="1557">
        <f t="shared" si="18"/>
        <v>9.6655741695077999E-2</v>
      </c>
      <c r="J72" s="1558">
        <f t="shared" si="19"/>
        <v>3.1711201343529523E-3</v>
      </c>
      <c r="K72" s="1559">
        <f t="shared" si="20"/>
        <v>3.8053441612235429E-2</v>
      </c>
      <c r="L72" s="1558">
        <f t="shared" si="21"/>
        <v>9.6655741695077994E-4</v>
      </c>
      <c r="M72" s="1364">
        <f t="shared" si="22"/>
        <v>6.0059093453654397E-7</v>
      </c>
      <c r="N72" s="1377">
        <f t="shared" si="23"/>
        <v>0.9665574169507799</v>
      </c>
      <c r="O72" s="1558">
        <f t="shared" si="24"/>
        <v>1.0570400447843175E-3</v>
      </c>
      <c r="P72" s="1439">
        <f t="shared" si="25"/>
        <v>966.55741695077995</v>
      </c>
      <c r="Q72" s="1440">
        <v>9.6655699999999997E-2</v>
      </c>
      <c r="R72" s="1451">
        <v>3.1711199999999999E-3</v>
      </c>
      <c r="S72" s="1451">
        <v>3.8053400000000001E-2</v>
      </c>
      <c r="T72" s="1451">
        <v>9.6655700000000005E-4</v>
      </c>
      <c r="U72" s="1501">
        <v>6.0059093453654397E-7</v>
      </c>
      <c r="V72" s="1451">
        <v>0.966557</v>
      </c>
      <c r="W72" s="1451">
        <v>1.05704E-3</v>
      </c>
      <c r="X72" s="1375">
        <v>966.55700000000002</v>
      </c>
      <c r="Y72" s="1493">
        <f t="shared" si="16"/>
        <v>4.3137714604552157E-7</v>
      </c>
      <c r="Z72" s="1297">
        <f t="shared" si="26"/>
        <v>4.2367664005870512E-8</v>
      </c>
      <c r="AA72" s="1297">
        <f t="shared" si="26"/>
        <v>1.0935209448933772E-6</v>
      </c>
      <c r="AB72" s="1297">
        <f t="shared" si="26"/>
        <v>4.3137714591988949E-7</v>
      </c>
      <c r="AC72" s="1297">
        <f t="shared" si="26"/>
        <v>0</v>
      </c>
      <c r="AD72" s="1297">
        <f t="shared" si="26"/>
        <v>4.3137714593065798E-7</v>
      </c>
      <c r="AE72" s="1297">
        <f t="shared" si="26"/>
        <v>4.2367664074250264E-8</v>
      </c>
      <c r="AF72" s="1298">
        <f t="shared" si="26"/>
        <v>4.3137714596557649E-7</v>
      </c>
    </row>
    <row r="73" spans="3:32" ht="15.75" thickTop="1" x14ac:dyDescent="0.25">
      <c r="C73" s="92">
        <v>67</v>
      </c>
      <c r="D73" s="61" t="s">
        <v>113</v>
      </c>
      <c r="E73" s="48">
        <f>C73</f>
        <v>67</v>
      </c>
      <c r="F73" s="92">
        <v>7</v>
      </c>
      <c r="G73" s="61" t="s">
        <v>31</v>
      </c>
      <c r="H73" s="48">
        <f>F73</f>
        <v>7</v>
      </c>
      <c r="I73" s="280">
        <f t="shared" si="18"/>
        <v>99.768770296412001</v>
      </c>
      <c r="J73" s="324">
        <f t="shared" si="19"/>
        <v>3.2732536186486874</v>
      </c>
      <c r="K73" s="736">
        <f t="shared" si="20"/>
        <v>39.279043423784252</v>
      </c>
      <c r="L73" s="324">
        <f t="shared" si="21"/>
        <v>0.99768770296412002</v>
      </c>
      <c r="M73" s="737">
        <f t="shared" si="22"/>
        <v>6.1993439747134234E-4</v>
      </c>
      <c r="N73" s="512">
        <f t="shared" si="23"/>
        <v>997.68770296412004</v>
      </c>
      <c r="O73" s="324">
        <f t="shared" si="24"/>
        <v>1.0910845395495625</v>
      </c>
      <c r="P73" s="46">
        <f t="shared" si="25"/>
        <v>997687.70296411996</v>
      </c>
      <c r="Q73" s="313">
        <v>99.768799999999999</v>
      </c>
      <c r="R73" s="314">
        <v>3.27325</v>
      </c>
      <c r="S73" s="314">
        <v>39.279000000000003</v>
      </c>
      <c r="T73" s="314">
        <v>0.99768800000000002</v>
      </c>
      <c r="U73" s="314">
        <v>6.1993400000000004E-4</v>
      </c>
      <c r="V73" s="314">
        <v>997.68799999999999</v>
      </c>
      <c r="W73" s="314">
        <v>1.09108</v>
      </c>
      <c r="X73" s="48">
        <v>997688</v>
      </c>
      <c r="Y73" s="299">
        <f t="shared" si="16"/>
        <v>-2.977243070140401E-7</v>
      </c>
      <c r="Z73" s="191">
        <f t="shared" si="26"/>
        <v>1.1055204114793021E-6</v>
      </c>
      <c r="AA73" s="191">
        <f t="shared" si="26"/>
        <v>1.1055204114793021E-6</v>
      </c>
      <c r="AB73" s="191">
        <f t="shared" si="26"/>
        <v>-2.97724307036296E-7</v>
      </c>
      <c r="AC73" s="191">
        <f t="shared" si="26"/>
        <v>6.4115065064784078E-7</v>
      </c>
      <c r="AD73" s="191">
        <f t="shared" si="26"/>
        <v>-2.9772430698555253E-7</v>
      </c>
      <c r="AE73" s="191">
        <f t="shared" si="26"/>
        <v>4.1605846274302367E-6</v>
      </c>
      <c r="AF73" s="192">
        <f t="shared" si="26"/>
        <v>-2.9772430707033158E-7</v>
      </c>
    </row>
    <row r="74" spans="3:32" ht="15.75" thickBot="1" x14ac:dyDescent="0.3">
      <c r="C74" s="316">
        <v>460</v>
      </c>
      <c r="D74" s="290" t="s">
        <v>114</v>
      </c>
      <c r="E74" s="291">
        <f>C74*60</f>
        <v>27600</v>
      </c>
      <c r="F74" s="141">
        <v>42</v>
      </c>
      <c r="G74" s="290" t="s">
        <v>31</v>
      </c>
      <c r="H74" s="291">
        <f>F74</f>
        <v>42</v>
      </c>
      <c r="I74" s="702">
        <f t="shared" si="18"/>
        <v>1.4531538282303489</v>
      </c>
      <c r="J74" s="703">
        <f t="shared" si="19"/>
        <v>4.7675650532491759E-2</v>
      </c>
      <c r="K74" s="730">
        <f t="shared" si="20"/>
        <v>0.57210780638990111</v>
      </c>
      <c r="L74" s="703">
        <f t="shared" si="21"/>
        <v>1.4531538282303488E-2</v>
      </c>
      <c r="M74" s="731">
        <f t="shared" si="22"/>
        <v>9.0294792675173787E-6</v>
      </c>
      <c r="N74" s="732">
        <f t="shared" si="23"/>
        <v>14.531538282303488</v>
      </c>
      <c r="O74" s="703">
        <f t="shared" si="24"/>
        <v>1.5891883510830585E-2</v>
      </c>
      <c r="P74" s="733">
        <f t="shared" si="25"/>
        <v>14531.538282303489</v>
      </c>
      <c r="Q74" s="316">
        <v>1.4531499999999999</v>
      </c>
      <c r="R74" s="317">
        <v>4.7675700000000001E-2</v>
      </c>
      <c r="S74" s="317">
        <v>0.57210799999999995</v>
      </c>
      <c r="T74" s="317">
        <v>1.4531499999999999E-2</v>
      </c>
      <c r="U74" s="734">
        <v>9.0294792675173804E-6</v>
      </c>
      <c r="V74" s="317">
        <v>14.531499999999999</v>
      </c>
      <c r="W74" s="317">
        <v>1.58919E-2</v>
      </c>
      <c r="X74" s="291">
        <v>14531.5</v>
      </c>
      <c r="Y74" s="735">
        <f t="shared" si="16"/>
        <v>2.6344288364898422E-6</v>
      </c>
      <c r="Z74" s="163">
        <f t="shared" si="26"/>
        <v>-1.0375843368661517E-6</v>
      </c>
      <c r="AA74" s="163">
        <f t="shared" si="26"/>
        <v>-3.3841541171010055E-7</v>
      </c>
      <c r="AB74" s="163">
        <f t="shared" si="26"/>
        <v>2.6344288364373169E-6</v>
      </c>
      <c r="AC74" s="163">
        <f t="shared" si="26"/>
        <v>-1.8761501569673328E-16</v>
      </c>
      <c r="AD74" s="163">
        <f t="shared" si="26"/>
        <v>2.6344288364592821E-6</v>
      </c>
      <c r="AE74" s="163">
        <f t="shared" si="26"/>
        <v>-1.0375843369389237E-6</v>
      </c>
      <c r="AF74" s="164">
        <f t="shared" si="26"/>
        <v>2.6344288364455907E-6</v>
      </c>
    </row>
    <row r="75" spans="3:32" ht="15.75" thickTop="1" x14ac:dyDescent="0.25">
      <c r="C75" s="382">
        <v>344</v>
      </c>
      <c r="D75" s="383" t="s">
        <v>113</v>
      </c>
      <c r="E75" s="390">
        <f>C75</f>
        <v>344</v>
      </c>
      <c r="F75" s="385">
        <v>6456</v>
      </c>
      <c r="G75" s="383" t="s">
        <v>38</v>
      </c>
      <c r="H75" s="390">
        <f>F75*1609.4/3600</f>
        <v>2886.1906666666669</v>
      </c>
      <c r="I75" s="441">
        <f t="shared" si="18"/>
        <v>8011.9449646341782</v>
      </c>
      <c r="J75" s="710">
        <f t="shared" si="19"/>
        <v>262.85908676621318</v>
      </c>
      <c r="K75" s="849">
        <f t="shared" si="20"/>
        <v>3154.3090411945582</v>
      </c>
      <c r="L75" s="710">
        <f t="shared" si="21"/>
        <v>80.119449646341778</v>
      </c>
      <c r="M75" s="851">
        <f t="shared" si="22"/>
        <v>4.9783917948146447E-2</v>
      </c>
      <c r="N75" s="848">
        <f t="shared" si="23"/>
        <v>80119.449646341774</v>
      </c>
      <c r="O75" s="710">
        <f t="shared" si="24"/>
        <v>87.619695588737727</v>
      </c>
      <c r="P75" s="393">
        <f t="shared" si="25"/>
        <v>80119449.646341771</v>
      </c>
      <c r="Q75" s="420">
        <v>8011.94</v>
      </c>
      <c r="R75" s="421">
        <v>262.85899999999998</v>
      </c>
      <c r="S75" s="421">
        <v>3154.31</v>
      </c>
      <c r="T75" s="421">
        <v>80.119399999999999</v>
      </c>
      <c r="U75" s="421">
        <v>4.9783899999999999E-2</v>
      </c>
      <c r="V75" s="421">
        <v>80119.399999999994</v>
      </c>
      <c r="W75" s="421">
        <v>87.619699999999995</v>
      </c>
      <c r="X75" s="390">
        <v>80119450</v>
      </c>
      <c r="Y75" s="628">
        <f t="shared" si="16"/>
        <v>6.1965405410196568E-7</v>
      </c>
      <c r="Z75" s="211">
        <f t="shared" si="26"/>
        <v>3.3008641347859174E-7</v>
      </c>
      <c r="AA75" s="211">
        <f t="shared" si="26"/>
        <v>-3.0396686857479466E-7</v>
      </c>
      <c r="AB75" s="211">
        <f t="shared" si="26"/>
        <v>6.1965405401682764E-7</v>
      </c>
      <c r="AC75" s="211">
        <f t="shared" si="26"/>
        <v>3.605209711884584E-7</v>
      </c>
      <c r="AD75" s="211">
        <f t="shared" si="26"/>
        <v>6.1965405403385533E-7</v>
      </c>
      <c r="AE75" s="211">
        <f t="shared" si="26"/>
        <v>-5.0345555731815046E-8</v>
      </c>
      <c r="AF75" s="212">
        <f t="shared" si="26"/>
        <v>-4.414137025075946E-9</v>
      </c>
    </row>
    <row r="76" spans="3:32" ht="15.75" thickBot="1" x14ac:dyDescent="0.3">
      <c r="C76" s="397">
        <v>1244</v>
      </c>
      <c r="D76" s="398" t="s">
        <v>114</v>
      </c>
      <c r="E76" s="410">
        <f>C76*60</f>
        <v>74640</v>
      </c>
      <c r="F76" s="443">
        <v>423</v>
      </c>
      <c r="G76" s="398" t="s">
        <v>38</v>
      </c>
      <c r="H76" s="410">
        <f>F76*1609.4/3600</f>
        <v>189.10450000000003</v>
      </c>
      <c r="I76" s="444">
        <f t="shared" si="18"/>
        <v>2.4193662327911039</v>
      </c>
      <c r="J76" s="445">
        <f t="shared" si="19"/>
        <v>7.9375532571886592E-2</v>
      </c>
      <c r="K76" s="852">
        <f t="shared" si="20"/>
        <v>0.95250639086263933</v>
      </c>
      <c r="L76" s="445">
        <f t="shared" si="21"/>
        <v>2.4193662327911036E-2</v>
      </c>
      <c r="M76" s="853">
        <f t="shared" si="22"/>
        <v>1.5033244805281554E-5</v>
      </c>
      <c r="N76" s="618">
        <f t="shared" si="23"/>
        <v>24.193662327911035</v>
      </c>
      <c r="O76" s="445">
        <f t="shared" si="24"/>
        <v>2.6458510857295534E-2</v>
      </c>
      <c r="P76" s="854">
        <f t="shared" si="25"/>
        <v>24193.662327911035</v>
      </c>
      <c r="Q76" s="397">
        <v>2.4193699999999998</v>
      </c>
      <c r="R76" s="428">
        <v>7.9375500000000002E-2</v>
      </c>
      <c r="S76" s="428">
        <v>0.95250599999999996</v>
      </c>
      <c r="T76" s="428">
        <v>2.4193699999999999E-2</v>
      </c>
      <c r="U76" s="744">
        <v>1.50332448052816E-5</v>
      </c>
      <c r="V76" s="428">
        <v>24.1937</v>
      </c>
      <c r="W76" s="428">
        <v>2.6458499999999999E-2</v>
      </c>
      <c r="X76" s="410">
        <v>24193.7</v>
      </c>
      <c r="Y76" s="554">
        <f t="shared" si="16"/>
        <v>-1.5571056770507657E-6</v>
      </c>
      <c r="Z76" s="235">
        <f t="shared" si="26"/>
        <v>4.1035172345045018E-7</v>
      </c>
      <c r="AA76" s="235">
        <f t="shared" si="26"/>
        <v>4.1035172374184524E-7</v>
      </c>
      <c r="AB76" s="235">
        <f t="shared" si="26"/>
        <v>-1.5571056771654883E-6</v>
      </c>
      <c r="AC76" s="235">
        <f t="shared" si="26"/>
        <v>-3.0425752885805926E-15</v>
      </c>
      <c r="AD76" s="235">
        <f t="shared" si="26"/>
        <v>-1.557105677271033E-6</v>
      </c>
      <c r="AE76" s="235">
        <f t="shared" si="26"/>
        <v>4.1035172362528721E-7</v>
      </c>
      <c r="AF76" s="236">
        <f t="shared" si="26"/>
        <v>-1.5571056772945282E-6</v>
      </c>
    </row>
    <row r="77" spans="3:32" ht="15.75" thickTop="1" x14ac:dyDescent="0.25"/>
  </sheetData>
  <mergeCells count="33">
    <mergeCell ref="O30:P30"/>
    <mergeCell ref="O29:P29"/>
    <mergeCell ref="I29:J29"/>
    <mergeCell ref="K30:L30"/>
    <mergeCell ref="M29:N29"/>
    <mergeCell ref="K29:L29"/>
    <mergeCell ref="I30:J30"/>
    <mergeCell ref="M30:N30"/>
    <mergeCell ref="M8:P8"/>
    <mergeCell ref="Q8:T8"/>
    <mergeCell ref="I9:L9"/>
    <mergeCell ref="M9:P9"/>
    <mergeCell ref="Q9:T9"/>
    <mergeCell ref="C2:J2"/>
    <mergeCell ref="C4:E4"/>
    <mergeCell ref="H4:I4"/>
    <mergeCell ref="C8:H8"/>
    <mergeCell ref="C9:E9"/>
    <mergeCell ref="F9:H9"/>
    <mergeCell ref="I8:L8"/>
    <mergeCell ref="E6:G6"/>
    <mergeCell ref="F30:H30"/>
    <mergeCell ref="C30:E30"/>
    <mergeCell ref="C29:H29"/>
    <mergeCell ref="C66:H66"/>
    <mergeCell ref="C67:E67"/>
    <mergeCell ref="F67:H67"/>
    <mergeCell ref="I66:P66"/>
    <mergeCell ref="Q66:X66"/>
    <mergeCell ref="Y66:AF66"/>
    <mergeCell ref="I67:P67"/>
    <mergeCell ref="Q67:X67"/>
    <mergeCell ref="Y67:AF67"/>
  </mergeCells>
  <conditionalFormatting sqref="Q11:T26 M32:N63 Y69:AF76">
    <cfRule type="cellIs" dxfId="6" priority="1" operator="notBetween">
      <formula>-0.001</formula>
      <formula>0.001</formula>
    </cfRule>
  </conditionalFormatting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AL52"/>
  <sheetViews>
    <sheetView zoomScaleNormal="100" workbookViewId="0">
      <selection activeCell="B2" sqref="B2"/>
    </sheetView>
  </sheetViews>
  <sheetFormatPr defaultColWidth="18.7109375" defaultRowHeight="15" x14ac:dyDescent="0.25"/>
  <cols>
    <col min="1" max="2" width="5.7109375" style="9" customWidth="1"/>
    <col min="3" max="3" width="12.7109375" style="9" customWidth="1"/>
    <col min="4" max="4" width="10.7109375" style="9" customWidth="1"/>
    <col min="5" max="5" width="18.7109375" style="9"/>
    <col min="6" max="6" width="12.7109375" style="9" customWidth="1"/>
    <col min="7" max="7" width="10.7109375" style="9" customWidth="1"/>
    <col min="8" max="14" width="18.7109375" style="9"/>
    <col min="15" max="17" width="25.28515625" style="9" bestFit="1" customWidth="1"/>
    <col min="18" max="16384" width="18.7109375" style="9"/>
  </cols>
  <sheetData>
    <row r="2" spans="3:38" ht="21" x14ac:dyDescent="0.35">
      <c r="C2" s="2490" t="s">
        <v>26</v>
      </c>
      <c r="D2" s="2491"/>
      <c r="E2" s="2491"/>
      <c r="F2" s="2491"/>
      <c r="G2" s="2491"/>
      <c r="H2" s="2491"/>
      <c r="I2" s="2491"/>
      <c r="J2" s="2491"/>
    </row>
    <row r="3" spans="3:38" x14ac:dyDescent="0.25"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459"/>
    </row>
    <row r="4" spans="3:38" x14ac:dyDescent="0.25">
      <c r="C4" s="2501" t="s">
        <v>22</v>
      </c>
      <c r="D4" s="2502"/>
      <c r="E4" s="2503"/>
      <c r="F4" s="20"/>
      <c r="G4" s="20"/>
      <c r="H4" s="2501" t="s">
        <v>23</v>
      </c>
      <c r="I4" s="2503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59"/>
      <c r="AK4" s="459"/>
      <c r="AL4" s="459"/>
    </row>
    <row r="5" spans="3:38" ht="15.75" thickBot="1" x14ac:dyDescent="0.3"/>
    <row r="6" spans="3:38" ht="19.5" thickBot="1" x14ac:dyDescent="0.35">
      <c r="E6" s="2497" t="s">
        <v>80</v>
      </c>
      <c r="F6" s="2498"/>
      <c r="G6" s="2499"/>
    </row>
    <row r="7" spans="3:38" ht="15.75" thickBot="1" x14ac:dyDescent="0.3"/>
    <row r="8" spans="3:38" ht="15.75" thickTop="1" x14ac:dyDescent="0.25">
      <c r="C8" s="2488" t="s">
        <v>0</v>
      </c>
      <c r="D8" s="2489"/>
      <c r="E8" s="2489"/>
      <c r="F8" s="2489"/>
      <c r="G8" s="2489"/>
      <c r="H8" s="2489"/>
      <c r="I8" s="2483" t="s">
        <v>158</v>
      </c>
      <c r="J8" s="2484"/>
      <c r="K8" s="2488" t="s">
        <v>17</v>
      </c>
      <c r="L8" s="2495"/>
      <c r="M8" s="2484" t="s">
        <v>8</v>
      </c>
      <c r="N8" s="2485"/>
    </row>
    <row r="9" spans="3:38" ht="15.75" thickBot="1" x14ac:dyDescent="0.3">
      <c r="C9" s="2486" t="s">
        <v>28</v>
      </c>
      <c r="D9" s="2487"/>
      <c r="E9" s="2487"/>
      <c r="F9" s="2486" t="s">
        <v>152</v>
      </c>
      <c r="G9" s="2487"/>
      <c r="H9" s="2496"/>
      <c r="I9" s="2480" t="s">
        <v>139</v>
      </c>
      <c r="J9" s="2481"/>
      <c r="K9" s="2486" t="s">
        <v>139</v>
      </c>
      <c r="L9" s="2487"/>
      <c r="M9" s="2480" t="s">
        <v>139</v>
      </c>
      <c r="N9" s="2482"/>
    </row>
    <row r="10" spans="3:38" ht="18" thickBot="1" x14ac:dyDescent="0.3">
      <c r="C10" s="82" t="s">
        <v>3</v>
      </c>
      <c r="D10" s="66" t="s">
        <v>4</v>
      </c>
      <c r="E10" s="84" t="s">
        <v>30</v>
      </c>
      <c r="F10" s="82" t="s">
        <v>3</v>
      </c>
      <c r="G10" s="66" t="s">
        <v>4</v>
      </c>
      <c r="H10" s="801" t="s">
        <v>117</v>
      </c>
      <c r="I10" s="808" t="s">
        <v>84</v>
      </c>
      <c r="J10" s="697" t="s">
        <v>85</v>
      </c>
      <c r="K10" s="84" t="s">
        <v>84</v>
      </c>
      <c r="L10" s="699" t="s">
        <v>85</v>
      </c>
      <c r="M10" s="89" t="s">
        <v>84</v>
      </c>
      <c r="N10" s="697" t="s">
        <v>85</v>
      </c>
    </row>
    <row r="11" spans="3:38" ht="15.75" thickTop="1" x14ac:dyDescent="0.25">
      <c r="C11" s="1091">
        <v>32</v>
      </c>
      <c r="D11" s="1052" t="s">
        <v>32</v>
      </c>
      <c r="E11" s="1053">
        <f>C11/1000</f>
        <v>3.2000000000000001E-2</v>
      </c>
      <c r="F11" s="1091">
        <v>1524</v>
      </c>
      <c r="G11" s="1052" t="s">
        <v>115</v>
      </c>
      <c r="H11" s="1055">
        <f>F11/100</f>
        <v>15.24</v>
      </c>
      <c r="I11" s="1181">
        <f>J11/9.80665</f>
        <v>4.972952027450761E-2</v>
      </c>
      <c r="J11" s="1214">
        <f>E11*H11</f>
        <v>0.48768</v>
      </c>
      <c r="K11" s="1053">
        <v>4.9729500000000003E-2</v>
      </c>
      <c r="L11" s="1214">
        <v>0.48768</v>
      </c>
      <c r="M11" s="1176">
        <f xml:space="preserve"> (I11-K11)/I11</f>
        <v>4.0769562013835709E-7</v>
      </c>
      <c r="N11" s="1215">
        <f xml:space="preserve"> (J11-L11)/J11</f>
        <v>0</v>
      </c>
    </row>
    <row r="12" spans="3:38" x14ac:dyDescent="0.25">
      <c r="C12" s="71">
        <v>43</v>
      </c>
      <c r="D12" s="59" t="s">
        <v>30</v>
      </c>
      <c r="E12" s="32">
        <f>C12</f>
        <v>43</v>
      </c>
      <c r="F12" s="71">
        <v>917</v>
      </c>
      <c r="G12" s="59" t="s">
        <v>115</v>
      </c>
      <c r="H12" s="889">
        <f>F12/100</f>
        <v>9.17</v>
      </c>
      <c r="I12" s="1184">
        <f t="shared" ref="I12:I25" si="0">J12/9.80665</f>
        <v>40.20842999393269</v>
      </c>
      <c r="J12" s="1216">
        <f t="shared" ref="J12:J25" si="1">E12*H12</f>
        <v>394.31</v>
      </c>
      <c r="K12" s="894">
        <v>40.208399999999997</v>
      </c>
      <c r="L12" s="1216">
        <v>394.31</v>
      </c>
      <c r="M12" s="1115">
        <f t="shared" ref="M12:M25" si="2" xml:space="preserve"> (I12-K12)/I12</f>
        <v>7.4596129957656044E-7</v>
      </c>
      <c r="N12" s="1217">
        <f t="shared" ref="N12:N25" si="3" xml:space="preserve"> (J12-L12)/J12</f>
        <v>0</v>
      </c>
    </row>
    <row r="13" spans="3:38" x14ac:dyDescent="0.25">
      <c r="C13" s="71">
        <v>56</v>
      </c>
      <c r="D13" s="59" t="s">
        <v>33</v>
      </c>
      <c r="E13" s="32">
        <f>C13*0.45359237</f>
        <v>25.401172720000002</v>
      </c>
      <c r="F13" s="71">
        <v>641</v>
      </c>
      <c r="G13" s="59" t="s">
        <v>115</v>
      </c>
      <c r="H13" s="889">
        <f>F13/100</f>
        <v>6.41</v>
      </c>
      <c r="I13" s="1184">
        <f t="shared" si="0"/>
        <v>16.603174084442703</v>
      </c>
      <c r="J13" s="1218">
        <f t="shared" si="1"/>
        <v>162.82151713520003</v>
      </c>
      <c r="K13" s="894">
        <v>16.603200000000001</v>
      </c>
      <c r="L13" s="1216">
        <v>162.822</v>
      </c>
      <c r="M13" s="1115">
        <f t="shared" si="2"/>
        <v>-1.5608796948436901E-6</v>
      </c>
      <c r="N13" s="1217">
        <f t="shared" si="3"/>
        <v>-2.9656080380108981E-6</v>
      </c>
    </row>
    <row r="14" spans="3:38" x14ac:dyDescent="0.25">
      <c r="C14" s="71">
        <v>158</v>
      </c>
      <c r="D14" s="59" t="s">
        <v>34</v>
      </c>
      <c r="E14" s="32">
        <f>C14*1000</f>
        <v>158000</v>
      </c>
      <c r="F14" s="71">
        <v>380</v>
      </c>
      <c r="G14" s="59" t="s">
        <v>115</v>
      </c>
      <c r="H14" s="889">
        <f>F14/100</f>
        <v>3.8</v>
      </c>
      <c r="I14" s="1184">
        <f t="shared" si="0"/>
        <v>61223.761427194819</v>
      </c>
      <c r="J14" s="1218">
        <f t="shared" si="1"/>
        <v>600400</v>
      </c>
      <c r="K14" s="894">
        <v>61223.8</v>
      </c>
      <c r="L14" s="1216">
        <v>600400</v>
      </c>
      <c r="M14" s="1115">
        <f t="shared" si="2"/>
        <v>-6.3002997994659512E-7</v>
      </c>
      <c r="N14" s="1217">
        <f t="shared" si="3"/>
        <v>0</v>
      </c>
    </row>
    <row r="15" spans="3:38" ht="15.75" thickBot="1" x14ac:dyDescent="0.3">
      <c r="C15" s="1091">
        <v>2365</v>
      </c>
      <c r="D15" s="1052" t="s">
        <v>35</v>
      </c>
      <c r="E15" s="1053">
        <f>C15*31.1034768/1000</f>
        <v>73.559722632000003</v>
      </c>
      <c r="F15" s="1091">
        <v>259</v>
      </c>
      <c r="G15" s="1052" t="s">
        <v>115</v>
      </c>
      <c r="H15" s="1055">
        <f>F15/100</f>
        <v>2.59</v>
      </c>
      <c r="I15" s="1181">
        <f t="shared" si="0"/>
        <v>19.427600823612551</v>
      </c>
      <c r="J15" s="1214">
        <f t="shared" si="1"/>
        <v>190.51968161688001</v>
      </c>
      <c r="K15" s="1219">
        <v>19.427600000000002</v>
      </c>
      <c r="L15" s="1220">
        <v>190.52</v>
      </c>
      <c r="M15" s="1176">
        <f t="shared" si="2"/>
        <v>4.239394026601031E-8</v>
      </c>
      <c r="N15" s="1215">
        <f t="shared" si="3"/>
        <v>-1.6711298134728227E-6</v>
      </c>
    </row>
    <row r="16" spans="3:38" ht="18" thickTop="1" x14ac:dyDescent="0.25">
      <c r="C16" s="1541">
        <v>4589</v>
      </c>
      <c r="D16" s="1523" t="s">
        <v>32</v>
      </c>
      <c r="E16" s="1524">
        <f>C16/1000</f>
        <v>4.5890000000000004</v>
      </c>
      <c r="F16" s="1541">
        <v>152</v>
      </c>
      <c r="G16" s="1333" t="s">
        <v>157</v>
      </c>
      <c r="H16" s="1525">
        <f>F16/3.6</f>
        <v>42.222222222222221</v>
      </c>
      <c r="I16" s="1560">
        <f t="shared" si="0"/>
        <v>19.757794739057456</v>
      </c>
      <c r="J16" s="1561">
        <f t="shared" si="1"/>
        <v>193.75777777777779</v>
      </c>
      <c r="K16" s="1562">
        <v>19.7578</v>
      </c>
      <c r="L16" s="1563">
        <v>193.75800000000001</v>
      </c>
      <c r="M16" s="1529">
        <f t="shared" si="2"/>
        <v>-2.6627174810292965E-7</v>
      </c>
      <c r="N16" s="1564">
        <f t="shared" si="3"/>
        <v>-1.1469073642813638E-6</v>
      </c>
    </row>
    <row r="17" spans="3:17" ht="17.25" x14ac:dyDescent="0.25">
      <c r="C17" s="1268">
        <v>245</v>
      </c>
      <c r="D17" s="1269" t="s">
        <v>30</v>
      </c>
      <c r="E17" s="1254">
        <f>C17</f>
        <v>245</v>
      </c>
      <c r="F17" s="1280">
        <v>15.9</v>
      </c>
      <c r="G17" s="1269" t="s">
        <v>157</v>
      </c>
      <c r="H17" s="1270">
        <f>F17/3.6</f>
        <v>4.416666666666667</v>
      </c>
      <c r="I17" s="1551">
        <f t="shared" si="0"/>
        <v>110.34179187932001</v>
      </c>
      <c r="J17" s="1565">
        <f>E17*H17</f>
        <v>1082.0833333333335</v>
      </c>
      <c r="K17" s="1283">
        <v>110.342</v>
      </c>
      <c r="L17" s="1566">
        <v>1082.08</v>
      </c>
      <c r="M17" s="1498">
        <f t="shared" si="2"/>
        <v>-1.8861455522979746E-6</v>
      </c>
      <c r="N17" s="1567">
        <f t="shared" si="3"/>
        <v>3.080477474215795E-6</v>
      </c>
    </row>
    <row r="18" spans="3:17" ht="17.25" x14ac:dyDescent="0.25">
      <c r="C18" s="1268">
        <v>24</v>
      </c>
      <c r="D18" s="1269" t="s">
        <v>33</v>
      </c>
      <c r="E18" s="1254">
        <f>C18*0.45359237</f>
        <v>10.886216880000001</v>
      </c>
      <c r="F18" s="1268">
        <v>90</v>
      </c>
      <c r="G18" s="1269" t="s">
        <v>157</v>
      </c>
      <c r="H18" s="1270">
        <f>F18/3.6</f>
        <v>25</v>
      </c>
      <c r="I18" s="1551">
        <f t="shared" si="0"/>
        <v>27.752129626325001</v>
      </c>
      <c r="J18" s="1565">
        <f t="shared" si="1"/>
        <v>272.15542200000004</v>
      </c>
      <c r="K18" s="1283">
        <v>27.752099999999999</v>
      </c>
      <c r="L18" s="1566">
        <v>272.15499999999997</v>
      </c>
      <c r="M18" s="1498">
        <f t="shared" si="2"/>
        <v>1.0675333893669303E-6</v>
      </c>
      <c r="N18" s="1567">
        <f t="shared" si="3"/>
        <v>1.5505845776293985E-6</v>
      </c>
    </row>
    <row r="19" spans="3:17" ht="17.25" x14ac:dyDescent="0.25">
      <c r="C19" s="1268">
        <v>1215</v>
      </c>
      <c r="D19" s="1269" t="s">
        <v>34</v>
      </c>
      <c r="E19" s="1254">
        <f>C19*1000</f>
        <v>1215000</v>
      </c>
      <c r="F19" s="1268">
        <v>420</v>
      </c>
      <c r="G19" s="1269" t="s">
        <v>157</v>
      </c>
      <c r="H19" s="1270">
        <f>F19/3.6</f>
        <v>116.66666666666666</v>
      </c>
      <c r="I19" s="1551">
        <f t="shared" si="0"/>
        <v>14454477.318962134</v>
      </c>
      <c r="J19" s="1565">
        <f t="shared" si="1"/>
        <v>141750000</v>
      </c>
      <c r="K19" s="1283">
        <v>14454477</v>
      </c>
      <c r="L19" s="1565">
        <v>141750000</v>
      </c>
      <c r="M19" s="1498">
        <f t="shared" si="2"/>
        <v>2.2066666776144208E-8</v>
      </c>
      <c r="N19" s="1567">
        <f t="shared" si="3"/>
        <v>0</v>
      </c>
    </row>
    <row r="20" spans="3:17" ht="18" thickBot="1" x14ac:dyDescent="0.3">
      <c r="C20" s="1478">
        <v>12154</v>
      </c>
      <c r="D20" s="1479" t="s">
        <v>35</v>
      </c>
      <c r="E20" s="1480">
        <f>C20*31.1034768/1000</f>
        <v>378.03165702719997</v>
      </c>
      <c r="F20" s="1478">
        <v>28</v>
      </c>
      <c r="G20" s="1479" t="s">
        <v>157</v>
      </c>
      <c r="H20" s="1482">
        <f>F20/3.6</f>
        <v>7.7777777777777777</v>
      </c>
      <c r="I20" s="1568">
        <f t="shared" si="0"/>
        <v>299.82167420298128</v>
      </c>
      <c r="J20" s="1569">
        <f t="shared" si="1"/>
        <v>2940.2462213226663</v>
      </c>
      <c r="K20" s="1570">
        <v>299.822</v>
      </c>
      <c r="L20" s="1571">
        <v>2940.25</v>
      </c>
      <c r="M20" s="1441">
        <f t="shared" si="2"/>
        <v>-1.0866359798166387E-6</v>
      </c>
      <c r="N20" s="1572">
        <f t="shared" si="3"/>
        <v>-1.2851567689405688E-6</v>
      </c>
    </row>
    <row r="21" spans="3:17" ht="18" thickTop="1" x14ac:dyDescent="0.25">
      <c r="C21" s="309">
        <v>28</v>
      </c>
      <c r="D21" s="304" t="s">
        <v>32</v>
      </c>
      <c r="E21" s="305">
        <f>C21/1000</f>
        <v>2.8000000000000001E-2</v>
      </c>
      <c r="F21" s="309">
        <v>45</v>
      </c>
      <c r="G21" s="61" t="s">
        <v>117</v>
      </c>
      <c r="H21" s="329">
        <f>F21</f>
        <v>45</v>
      </c>
      <c r="I21" s="330">
        <f t="shared" si="0"/>
        <v>0.12848424283521898</v>
      </c>
      <c r="J21" s="463">
        <f t="shared" si="1"/>
        <v>1.26</v>
      </c>
      <c r="K21" s="461">
        <v>0.12848399999999999</v>
      </c>
      <c r="L21" s="463">
        <v>1.26</v>
      </c>
      <c r="M21" s="297">
        <f t="shared" si="2"/>
        <v>1.8900000002346513E-6</v>
      </c>
      <c r="N21" s="331">
        <f t="shared" si="3"/>
        <v>0</v>
      </c>
    </row>
    <row r="22" spans="3:17" ht="17.25" x14ac:dyDescent="0.25">
      <c r="C22" s="72">
        <v>95</v>
      </c>
      <c r="D22" s="62" t="s">
        <v>30</v>
      </c>
      <c r="E22" s="34">
        <f>C22</f>
        <v>95</v>
      </c>
      <c r="F22" s="72">
        <v>550</v>
      </c>
      <c r="G22" s="62" t="s">
        <v>117</v>
      </c>
      <c r="H22" s="76">
        <f>F22</f>
        <v>550</v>
      </c>
      <c r="I22" s="332">
        <f t="shared" si="0"/>
        <v>5328.0172128096756</v>
      </c>
      <c r="J22" s="464">
        <f t="shared" si="1"/>
        <v>52250</v>
      </c>
      <c r="K22" s="160">
        <v>5328.02</v>
      </c>
      <c r="L22" s="464">
        <v>52250</v>
      </c>
      <c r="M22" s="334">
        <f t="shared" si="2"/>
        <v>-5.2311961720983656E-7</v>
      </c>
      <c r="N22" s="335">
        <f t="shared" si="3"/>
        <v>0</v>
      </c>
    </row>
    <row r="23" spans="3:17" ht="17.25" x14ac:dyDescent="0.25">
      <c r="C23" s="72">
        <v>959</v>
      </c>
      <c r="D23" s="62" t="s">
        <v>33</v>
      </c>
      <c r="E23" s="34">
        <f>C23*0.45359237</f>
        <v>434.99508283</v>
      </c>
      <c r="F23" s="72">
        <v>640</v>
      </c>
      <c r="G23" s="62" t="s">
        <v>117</v>
      </c>
      <c r="H23" s="76">
        <f>F23</f>
        <v>640</v>
      </c>
      <c r="I23" s="332">
        <f t="shared" si="0"/>
        <v>28388.578465755378</v>
      </c>
      <c r="J23" s="333">
        <f t="shared" si="1"/>
        <v>278396.85301119997</v>
      </c>
      <c r="K23" s="160">
        <v>28388.6</v>
      </c>
      <c r="L23" s="464">
        <v>278397</v>
      </c>
      <c r="M23" s="334">
        <f t="shared" si="2"/>
        <v>-7.5855311483203612E-7</v>
      </c>
      <c r="N23" s="335">
        <f t="shared" si="3"/>
        <v>-5.2798297983068664E-7</v>
      </c>
    </row>
    <row r="24" spans="3:17" ht="17.25" x14ac:dyDescent="0.25">
      <c r="C24" s="72">
        <v>456</v>
      </c>
      <c r="D24" s="62" t="s">
        <v>34</v>
      </c>
      <c r="E24" s="34">
        <f>C24*1000</f>
        <v>456000</v>
      </c>
      <c r="F24" s="72">
        <v>350</v>
      </c>
      <c r="G24" s="62" t="s">
        <v>118</v>
      </c>
      <c r="H24" s="76">
        <f>F24</f>
        <v>350</v>
      </c>
      <c r="I24" s="332">
        <f t="shared" si="0"/>
        <v>16274670.759127736</v>
      </c>
      <c r="J24" s="333">
        <f t="shared" si="1"/>
        <v>159600000</v>
      </c>
      <c r="K24" s="160">
        <v>16274671</v>
      </c>
      <c r="L24" s="333">
        <v>159600000</v>
      </c>
      <c r="M24" s="334">
        <f t="shared" si="2"/>
        <v>-1.4800438514142705E-8</v>
      </c>
      <c r="N24" s="335">
        <f t="shared" si="3"/>
        <v>0</v>
      </c>
    </row>
    <row r="25" spans="3:17" ht="18" thickBot="1" x14ac:dyDescent="0.3">
      <c r="C25" s="75">
        <v>798</v>
      </c>
      <c r="D25" s="73" t="s">
        <v>35</v>
      </c>
      <c r="E25" s="21">
        <f>C25*31.1034768/1000</f>
        <v>24.820574486400002</v>
      </c>
      <c r="F25" s="75">
        <v>820</v>
      </c>
      <c r="G25" s="73" t="s">
        <v>118</v>
      </c>
      <c r="H25" s="336">
        <f>F25</f>
        <v>820</v>
      </c>
      <c r="I25" s="337">
        <f t="shared" si="0"/>
        <v>2075.4152619750885</v>
      </c>
      <c r="J25" s="338">
        <f t="shared" si="1"/>
        <v>20352.871078848002</v>
      </c>
      <c r="K25" s="462">
        <v>2075.42</v>
      </c>
      <c r="L25" s="465">
        <v>20352.900000000001</v>
      </c>
      <c r="M25" s="339">
        <f t="shared" si="2"/>
        <v>-2.2829286256159397E-6</v>
      </c>
      <c r="N25" s="340">
        <f t="shared" si="3"/>
        <v>-1.4209863506402723E-6</v>
      </c>
    </row>
    <row r="26" spans="3:17" ht="15.75" thickTop="1" x14ac:dyDescent="0.25"/>
    <row r="27" spans="3:17" ht="15.75" thickBot="1" x14ac:dyDescent="0.3"/>
    <row r="28" spans="3:17" ht="15.75" thickTop="1" x14ac:dyDescent="0.25">
      <c r="C28" s="2488" t="s">
        <v>0</v>
      </c>
      <c r="D28" s="2489"/>
      <c r="E28" s="2489"/>
      <c r="F28" s="2489"/>
      <c r="G28" s="2489"/>
      <c r="H28" s="2489"/>
      <c r="I28" s="2483" t="s">
        <v>158</v>
      </c>
      <c r="J28" s="2484"/>
      <c r="K28" s="2485"/>
      <c r="L28" s="2488" t="s">
        <v>16</v>
      </c>
      <c r="M28" s="2489"/>
      <c r="N28" s="2495"/>
      <c r="O28" s="2483" t="s">
        <v>8</v>
      </c>
      <c r="P28" s="2484"/>
      <c r="Q28" s="2485"/>
    </row>
    <row r="29" spans="3:17" ht="15.75" thickBot="1" x14ac:dyDescent="0.3">
      <c r="C29" s="2486" t="s">
        <v>28</v>
      </c>
      <c r="D29" s="2487"/>
      <c r="E29" s="2487"/>
      <c r="F29" s="2486" t="s">
        <v>139</v>
      </c>
      <c r="G29" s="2487"/>
      <c r="H29" s="2496"/>
      <c r="I29" s="2480" t="s">
        <v>152</v>
      </c>
      <c r="J29" s="2481"/>
      <c r="K29" s="2482"/>
      <c r="L29" s="2486" t="s">
        <v>152</v>
      </c>
      <c r="M29" s="2487"/>
      <c r="N29" s="2496"/>
      <c r="O29" s="2480" t="s">
        <v>152</v>
      </c>
      <c r="P29" s="2481"/>
      <c r="Q29" s="2482"/>
    </row>
    <row r="30" spans="3:17" ht="18" thickBot="1" x14ac:dyDescent="0.3">
      <c r="C30" s="82" t="s">
        <v>3</v>
      </c>
      <c r="D30" s="66" t="s">
        <v>4</v>
      </c>
      <c r="E30" s="84" t="s">
        <v>30</v>
      </c>
      <c r="F30" s="82" t="s">
        <v>3</v>
      </c>
      <c r="G30" s="66" t="s">
        <v>4</v>
      </c>
      <c r="H30" s="801" t="s">
        <v>85</v>
      </c>
      <c r="I30" s="86" t="s">
        <v>115</v>
      </c>
      <c r="J30" s="87" t="s">
        <v>157</v>
      </c>
      <c r="K30" s="818" t="s">
        <v>117</v>
      </c>
      <c r="L30" s="82" t="s">
        <v>115</v>
      </c>
      <c r="M30" s="83" t="s">
        <v>157</v>
      </c>
      <c r="N30" s="806" t="s">
        <v>117</v>
      </c>
      <c r="O30" s="86" t="s">
        <v>13</v>
      </c>
      <c r="P30" s="87" t="s">
        <v>157</v>
      </c>
      <c r="Q30" s="88" t="s">
        <v>117</v>
      </c>
    </row>
    <row r="31" spans="3:17" ht="15.75" thickTop="1" x14ac:dyDescent="0.25">
      <c r="C31" s="1091">
        <v>8640</v>
      </c>
      <c r="D31" s="1052" t="s">
        <v>32</v>
      </c>
      <c r="E31" s="1053">
        <f>C31/1000</f>
        <v>8.64</v>
      </c>
      <c r="F31" s="1091">
        <v>13250</v>
      </c>
      <c r="G31" s="1052" t="s">
        <v>84</v>
      </c>
      <c r="H31" s="1055">
        <f>F31*9.80665</f>
        <v>129938.11249999999</v>
      </c>
      <c r="I31" s="1207">
        <f>K31*100</f>
        <v>1503913.3391203701</v>
      </c>
      <c r="J31" s="1054">
        <f>K31*3.6</f>
        <v>54140.880208333321</v>
      </c>
      <c r="K31" s="1208">
        <f>H31/E31</f>
        <v>15039.133391203701</v>
      </c>
      <c r="L31" s="1209">
        <v>1503913</v>
      </c>
      <c r="M31" s="1210">
        <v>54140.9</v>
      </c>
      <c r="N31" s="1175">
        <v>15039.1</v>
      </c>
      <c r="O31" s="980">
        <f xml:space="preserve"> (I31-L31)/I31</f>
        <v>2.2549196239019715E-7</v>
      </c>
      <c r="P31" s="981">
        <f t="shared" ref="P31:Q40" si="4" xml:space="preserve"> (J31-M31)/J31</f>
        <v>-3.6555864263917408E-7</v>
      </c>
      <c r="Q31" s="982">
        <f t="shared" si="4"/>
        <v>2.2202877540740442E-6</v>
      </c>
    </row>
    <row r="32" spans="3:17" x14ac:dyDescent="0.25">
      <c r="C32" s="71">
        <v>954</v>
      </c>
      <c r="D32" s="59" t="s">
        <v>30</v>
      </c>
      <c r="E32" s="32">
        <f>C32</f>
        <v>954</v>
      </c>
      <c r="F32" s="71">
        <v>940</v>
      </c>
      <c r="G32" s="59" t="s">
        <v>84</v>
      </c>
      <c r="H32" s="889">
        <f>F32*9.80665</f>
        <v>9218.2510000000002</v>
      </c>
      <c r="I32" s="940">
        <f t="shared" ref="I32:I40" si="5">K32*100</f>
        <v>966.27368972746342</v>
      </c>
      <c r="J32" s="1060">
        <f t="shared" ref="J32:J40" si="6">K32*3.6</f>
        <v>34.785852830188681</v>
      </c>
      <c r="K32" s="1211">
        <f t="shared" ref="K32:K40" si="7">H32/E32</f>
        <v>9.6627368972746339</v>
      </c>
      <c r="L32" s="32">
        <v>966.274</v>
      </c>
      <c r="M32" s="1060">
        <v>34.785899999999998</v>
      </c>
      <c r="N32" s="32">
        <v>9.6627399999999994</v>
      </c>
      <c r="O32" s="897">
        <f t="shared" ref="O32:O40" si="8" xml:space="preserve"> (I32-L32)/I32</f>
        <v>-3.2110212652916294E-7</v>
      </c>
      <c r="P32" s="898">
        <f t="shared" si="4"/>
        <v>-1.356005602266683E-6</v>
      </c>
      <c r="Q32" s="899">
        <f t="shared" si="4"/>
        <v>-3.2110212649974925E-7</v>
      </c>
    </row>
    <row r="33" spans="3:23" x14ac:dyDescent="0.25">
      <c r="C33" s="71">
        <v>954</v>
      </c>
      <c r="D33" s="59" t="s">
        <v>33</v>
      </c>
      <c r="E33" s="32">
        <f>C33*0.45359237</f>
        <v>432.72712098</v>
      </c>
      <c r="F33" s="71">
        <v>350</v>
      </c>
      <c r="G33" s="59" t="s">
        <v>84</v>
      </c>
      <c r="H33" s="889">
        <f>F33*9.80665</f>
        <v>3432.3274999999999</v>
      </c>
      <c r="I33" s="940">
        <f t="shared" si="5"/>
        <v>793.18520462197637</v>
      </c>
      <c r="J33" s="1060">
        <f t="shared" si="6"/>
        <v>28.554667366391147</v>
      </c>
      <c r="K33" s="1211">
        <f t="shared" si="7"/>
        <v>7.9318520462197633</v>
      </c>
      <c r="L33" s="32">
        <v>793.18499999999995</v>
      </c>
      <c r="M33" s="1060">
        <v>28.5547</v>
      </c>
      <c r="N33" s="32">
        <v>7.9318499999999998</v>
      </c>
      <c r="O33" s="897">
        <f t="shared" si="8"/>
        <v>2.5797502932493487E-7</v>
      </c>
      <c r="P33" s="898">
        <f t="shared" si="4"/>
        <v>-1.1428467519753366E-6</v>
      </c>
      <c r="Q33" s="899">
        <f t="shared" si="4"/>
        <v>2.5797502922191681E-7</v>
      </c>
    </row>
    <row r="34" spans="3:23" x14ac:dyDescent="0.25">
      <c r="C34" s="71">
        <v>850</v>
      </c>
      <c r="D34" s="59" t="s">
        <v>34</v>
      </c>
      <c r="E34" s="32">
        <f>C34*1000</f>
        <v>850000</v>
      </c>
      <c r="F34" s="71">
        <v>222</v>
      </c>
      <c r="G34" s="59" t="s">
        <v>84</v>
      </c>
      <c r="H34" s="889">
        <f>F34*9.80665</f>
        <v>2177.0762999999997</v>
      </c>
      <c r="I34" s="940">
        <f t="shared" si="5"/>
        <v>0.25612662352941173</v>
      </c>
      <c r="J34" s="1060">
        <f t="shared" si="6"/>
        <v>9.2205584470588225E-3</v>
      </c>
      <c r="K34" s="1211">
        <f t="shared" si="7"/>
        <v>2.5612662352941175E-3</v>
      </c>
      <c r="L34" s="32">
        <v>0.25612699999999999</v>
      </c>
      <c r="M34" s="1060">
        <v>9.2205599999999992E-3</v>
      </c>
      <c r="N34" s="32">
        <v>2.56127E-3</v>
      </c>
      <c r="O34" s="897">
        <f t="shared" si="8"/>
        <v>-1.4698612079893759E-6</v>
      </c>
      <c r="P34" s="898">
        <f t="shared" si="4"/>
        <v>-1.6842159676232848E-7</v>
      </c>
      <c r="Q34" s="899">
        <f t="shared" si="4"/>
        <v>-1.469861207969057E-6</v>
      </c>
    </row>
    <row r="35" spans="3:23" ht="15.75" thickBot="1" x14ac:dyDescent="0.3">
      <c r="C35" s="952">
        <v>125</v>
      </c>
      <c r="D35" s="953" t="s">
        <v>35</v>
      </c>
      <c r="E35" s="1065">
        <f>C35*31.1034768/1000</f>
        <v>3.8879345999999999</v>
      </c>
      <c r="F35" s="952">
        <v>555</v>
      </c>
      <c r="G35" s="953" t="s">
        <v>84</v>
      </c>
      <c r="H35" s="954">
        <f>F35*9.80665</f>
        <v>5442.6907499999998</v>
      </c>
      <c r="I35" s="1212">
        <f t="shared" si="5"/>
        <v>139989.25676373261</v>
      </c>
      <c r="J35" s="1073">
        <f t="shared" si="6"/>
        <v>5039.6132434943738</v>
      </c>
      <c r="K35" s="1213">
        <f t="shared" si="7"/>
        <v>1399.892567637326</v>
      </c>
      <c r="L35" s="1065">
        <v>139989</v>
      </c>
      <c r="M35" s="1066">
        <v>5039.6099999999997</v>
      </c>
      <c r="N35" s="1065">
        <v>1399.89</v>
      </c>
      <c r="O35" s="911">
        <f t="shared" si="8"/>
        <v>1.8341674107686476E-6</v>
      </c>
      <c r="P35" s="912">
        <f t="shared" si="4"/>
        <v>6.4359985924186029E-7</v>
      </c>
      <c r="Q35" s="913">
        <f t="shared" si="4"/>
        <v>1.8341674106062256E-6</v>
      </c>
    </row>
    <row r="36" spans="3:23" ht="15.75" thickTop="1" x14ac:dyDescent="0.25">
      <c r="C36" s="1332">
        <v>5</v>
      </c>
      <c r="D36" s="1333" t="s">
        <v>32</v>
      </c>
      <c r="E36" s="1334">
        <f>C36/1000</f>
        <v>5.0000000000000001E-3</v>
      </c>
      <c r="F36" s="1332">
        <v>6555</v>
      </c>
      <c r="G36" s="1333" t="s">
        <v>85</v>
      </c>
      <c r="H36" s="1573">
        <f>F36</f>
        <v>6555</v>
      </c>
      <c r="I36" s="1371">
        <f t="shared" si="5"/>
        <v>131100000</v>
      </c>
      <c r="J36" s="1456">
        <f t="shared" si="6"/>
        <v>4719600</v>
      </c>
      <c r="K36" s="1430">
        <f t="shared" si="7"/>
        <v>1311000</v>
      </c>
      <c r="L36" s="1334">
        <v>131100000</v>
      </c>
      <c r="M36" s="1442">
        <v>4719600</v>
      </c>
      <c r="N36" s="1334">
        <v>1311000</v>
      </c>
      <c r="O36" s="1265">
        <f t="shared" si="8"/>
        <v>0</v>
      </c>
      <c r="P36" s="1266">
        <f t="shared" si="4"/>
        <v>0</v>
      </c>
      <c r="Q36" s="1267">
        <f t="shared" si="4"/>
        <v>0</v>
      </c>
    </row>
    <row r="37" spans="3:23" x14ac:dyDescent="0.25">
      <c r="C37" s="1268">
        <v>94</v>
      </c>
      <c r="D37" s="1269" t="s">
        <v>30</v>
      </c>
      <c r="E37" s="1254">
        <f>C37</f>
        <v>94</v>
      </c>
      <c r="F37" s="1268">
        <v>7755</v>
      </c>
      <c r="G37" s="1269" t="s">
        <v>85</v>
      </c>
      <c r="H37" s="1574">
        <f>F37</f>
        <v>7755</v>
      </c>
      <c r="I37" s="1322">
        <f t="shared" si="5"/>
        <v>8250</v>
      </c>
      <c r="J37" s="1446">
        <f t="shared" si="6"/>
        <v>297</v>
      </c>
      <c r="K37" s="1575">
        <f t="shared" si="7"/>
        <v>82.5</v>
      </c>
      <c r="L37" s="1254">
        <v>8250</v>
      </c>
      <c r="M37" s="1446">
        <v>297</v>
      </c>
      <c r="N37" s="1283">
        <v>82.5</v>
      </c>
      <c r="O37" s="1277">
        <f t="shared" si="8"/>
        <v>0</v>
      </c>
      <c r="P37" s="1278">
        <f t="shared" si="4"/>
        <v>0</v>
      </c>
      <c r="Q37" s="1279">
        <f t="shared" si="4"/>
        <v>0</v>
      </c>
    </row>
    <row r="38" spans="3:23" x14ac:dyDescent="0.25">
      <c r="C38" s="1268">
        <v>450</v>
      </c>
      <c r="D38" s="1269" t="s">
        <v>33</v>
      </c>
      <c r="E38" s="1254">
        <f>C38*0.45359237</f>
        <v>204.1165665</v>
      </c>
      <c r="F38" s="1268">
        <v>745</v>
      </c>
      <c r="G38" s="1269" t="s">
        <v>85</v>
      </c>
      <c r="H38" s="1574">
        <f>F38</f>
        <v>745</v>
      </c>
      <c r="I38" s="1322">
        <f t="shared" si="5"/>
        <v>364.98752295051958</v>
      </c>
      <c r="J38" s="1446">
        <f t="shared" si="6"/>
        <v>13.139550826218704</v>
      </c>
      <c r="K38" s="1575">
        <f t="shared" si="7"/>
        <v>3.6498752295051955</v>
      </c>
      <c r="L38" s="1254">
        <v>364.988</v>
      </c>
      <c r="M38" s="1446">
        <v>13.1396</v>
      </c>
      <c r="N38" s="1254">
        <v>3.64988</v>
      </c>
      <c r="O38" s="1277">
        <f t="shared" si="8"/>
        <v>-1.3070295569748758E-6</v>
      </c>
      <c r="P38" s="1278">
        <f t="shared" si="4"/>
        <v>-3.7424248321824096E-6</v>
      </c>
      <c r="Q38" s="1279">
        <f t="shared" si="4"/>
        <v>-1.3070295570527463E-6</v>
      </c>
    </row>
    <row r="39" spans="3:23" x14ac:dyDescent="0.25">
      <c r="C39" s="1268">
        <v>680</v>
      </c>
      <c r="D39" s="1269" t="s">
        <v>34</v>
      </c>
      <c r="E39" s="1254">
        <f>C39*1000</f>
        <v>680000</v>
      </c>
      <c r="F39" s="1268">
        <v>850</v>
      </c>
      <c r="G39" s="1269" t="s">
        <v>85</v>
      </c>
      <c r="H39" s="1574">
        <f>F39</f>
        <v>850</v>
      </c>
      <c r="I39" s="1322">
        <f t="shared" si="5"/>
        <v>0.125</v>
      </c>
      <c r="J39" s="1446">
        <f t="shared" si="6"/>
        <v>4.5000000000000005E-3</v>
      </c>
      <c r="K39" s="1575">
        <f t="shared" si="7"/>
        <v>1.25E-3</v>
      </c>
      <c r="L39" s="1283">
        <v>0.125</v>
      </c>
      <c r="M39" s="1284">
        <v>4.4999999999999997E-3</v>
      </c>
      <c r="N39" s="1283">
        <v>1.25E-3</v>
      </c>
      <c r="O39" s="1277">
        <f t="shared" si="8"/>
        <v>0</v>
      </c>
      <c r="P39" s="1278">
        <f t="shared" si="4"/>
        <v>1.9274705288631188E-16</v>
      </c>
      <c r="Q39" s="1279">
        <f t="shared" si="4"/>
        <v>0</v>
      </c>
    </row>
    <row r="40" spans="3:23" ht="15.75" thickBot="1" x14ac:dyDescent="0.3">
      <c r="C40" s="1478">
        <v>560</v>
      </c>
      <c r="D40" s="1479" t="s">
        <v>35</v>
      </c>
      <c r="E40" s="1480">
        <f>C40*31.1034768/1000</f>
        <v>17.417947007999999</v>
      </c>
      <c r="F40" s="1478">
        <v>360</v>
      </c>
      <c r="G40" s="1479" t="s">
        <v>85</v>
      </c>
      <c r="H40" s="1576">
        <f>F40</f>
        <v>360</v>
      </c>
      <c r="I40" s="1577">
        <f t="shared" si="5"/>
        <v>2066.8337079832272</v>
      </c>
      <c r="J40" s="1451">
        <f t="shared" si="6"/>
        <v>74.40601348739618</v>
      </c>
      <c r="K40" s="1578">
        <f t="shared" si="7"/>
        <v>20.668337079832273</v>
      </c>
      <c r="L40" s="1570">
        <v>2066.83</v>
      </c>
      <c r="M40" s="1579">
        <v>74.406000000000006</v>
      </c>
      <c r="N40" s="1570">
        <v>20.668299999999999</v>
      </c>
      <c r="O40" s="1392">
        <f t="shared" si="8"/>
        <v>1.7940404266508582E-6</v>
      </c>
      <c r="P40" s="1393">
        <f t="shared" si="4"/>
        <v>1.8126755542967526E-7</v>
      </c>
      <c r="Q40" s="1394">
        <f t="shared" si="4"/>
        <v>1.7940404267471174E-6</v>
      </c>
    </row>
    <row r="41" spans="3:23" ht="15.75" thickTop="1" x14ac:dyDescent="0.25"/>
    <row r="42" spans="3:23" ht="15.75" thickBot="1" x14ac:dyDescent="0.3"/>
    <row r="43" spans="3:23" ht="15.75" thickTop="1" x14ac:dyDescent="0.25">
      <c r="C43" s="2488" t="s">
        <v>0</v>
      </c>
      <c r="D43" s="2489"/>
      <c r="E43" s="2489"/>
      <c r="F43" s="2489"/>
      <c r="G43" s="2489"/>
      <c r="H43" s="2489"/>
      <c r="I43" s="2483" t="s">
        <v>158</v>
      </c>
      <c r="J43" s="2484"/>
      <c r="K43" s="2484"/>
      <c r="L43" s="2484"/>
      <c r="M43" s="2485"/>
      <c r="N43" s="2488" t="s">
        <v>17</v>
      </c>
      <c r="O43" s="2489"/>
      <c r="P43" s="2489"/>
      <c r="Q43" s="2489"/>
      <c r="R43" s="2489"/>
      <c r="S43" s="2483" t="s">
        <v>8</v>
      </c>
      <c r="T43" s="2484"/>
      <c r="U43" s="2484"/>
      <c r="V43" s="2484"/>
      <c r="W43" s="2485"/>
    </row>
    <row r="44" spans="3:23" ht="15.75" thickBot="1" x14ac:dyDescent="0.3">
      <c r="C44" s="2486" t="s">
        <v>152</v>
      </c>
      <c r="D44" s="2487"/>
      <c r="E44" s="2487"/>
      <c r="F44" s="2486" t="s">
        <v>139</v>
      </c>
      <c r="G44" s="2487"/>
      <c r="H44" s="2487"/>
      <c r="I44" s="2480" t="s">
        <v>28</v>
      </c>
      <c r="J44" s="2481"/>
      <c r="K44" s="2481"/>
      <c r="L44" s="2481"/>
      <c r="M44" s="2482"/>
      <c r="N44" s="2486" t="s">
        <v>28</v>
      </c>
      <c r="O44" s="2487"/>
      <c r="P44" s="2487"/>
      <c r="Q44" s="2487"/>
      <c r="R44" s="2487"/>
      <c r="S44" s="2480" t="s">
        <v>28</v>
      </c>
      <c r="T44" s="2481"/>
      <c r="U44" s="2481"/>
      <c r="V44" s="2481"/>
      <c r="W44" s="2482"/>
    </row>
    <row r="45" spans="3:23" ht="18" thickBot="1" x14ac:dyDescent="0.3">
      <c r="C45" s="82" t="s">
        <v>3</v>
      </c>
      <c r="D45" s="66" t="s">
        <v>4</v>
      </c>
      <c r="E45" s="66" t="s">
        <v>116</v>
      </c>
      <c r="F45" s="82" t="s">
        <v>3</v>
      </c>
      <c r="G45" s="66" t="s">
        <v>4</v>
      </c>
      <c r="H45" s="2103" t="s">
        <v>85</v>
      </c>
      <c r="I45" s="86" t="s">
        <v>32</v>
      </c>
      <c r="J45" s="87" t="s">
        <v>30</v>
      </c>
      <c r="K45" s="87" t="s">
        <v>33</v>
      </c>
      <c r="L45" s="87" t="s">
        <v>34</v>
      </c>
      <c r="M45" s="88" t="s">
        <v>35</v>
      </c>
      <c r="N45" s="82" t="s">
        <v>32</v>
      </c>
      <c r="O45" s="83" t="s">
        <v>30</v>
      </c>
      <c r="P45" s="83" t="s">
        <v>33</v>
      </c>
      <c r="Q45" s="83" t="s">
        <v>34</v>
      </c>
      <c r="R45" s="85" t="s">
        <v>35</v>
      </c>
      <c r="S45" s="86" t="s">
        <v>32</v>
      </c>
      <c r="T45" s="87" t="s">
        <v>30</v>
      </c>
      <c r="U45" s="87" t="s">
        <v>33</v>
      </c>
      <c r="V45" s="87" t="s">
        <v>34</v>
      </c>
      <c r="W45" s="88" t="s">
        <v>35</v>
      </c>
    </row>
    <row r="46" spans="3:23" ht="15.75" thickTop="1" x14ac:dyDescent="0.25">
      <c r="C46" s="1194">
        <v>85</v>
      </c>
      <c r="D46" s="964" t="s">
        <v>115</v>
      </c>
      <c r="E46" s="965">
        <f>C46/100</f>
        <v>0.85</v>
      </c>
      <c r="F46" s="1108">
        <v>350</v>
      </c>
      <c r="G46" s="964" t="s">
        <v>84</v>
      </c>
      <c r="H46" s="965">
        <f>F46*9.80665</f>
        <v>3432.3274999999999</v>
      </c>
      <c r="I46" s="1195">
        <f t="shared" ref="I46:I51" si="9">J46*1000</f>
        <v>4038032.3529411764</v>
      </c>
      <c r="J46" s="1196">
        <f t="shared" ref="J46:J51" si="10">H46/E46</f>
        <v>4038.0323529411762</v>
      </c>
      <c r="K46" s="1196">
        <f t="shared" ref="K46:K51" si="11">J46/0.45359237</f>
        <v>8902.3374730513569</v>
      </c>
      <c r="L46" s="1196">
        <f t="shared" ref="L46:L51" si="12">J46/1000</f>
        <v>4.0380323529411761</v>
      </c>
      <c r="M46" s="1197">
        <f t="shared" ref="M46:M51" si="13">J46*1000/31.1034768</f>
        <v>129825.7548153323</v>
      </c>
      <c r="N46" s="1108">
        <v>4038032</v>
      </c>
      <c r="O46" s="969">
        <v>4038.03</v>
      </c>
      <c r="P46" s="969">
        <v>8902.34</v>
      </c>
      <c r="Q46" s="1198">
        <v>4.03803</v>
      </c>
      <c r="R46" s="970">
        <v>129826</v>
      </c>
      <c r="S46" s="885">
        <f t="shared" ref="S46:S51" si="14" xml:space="preserve"> (I46-N46)/I46</f>
        <v>8.7404246806329175E-8</v>
      </c>
      <c r="T46" s="886">
        <f t="shared" ref="T46:W51" si="15" xml:space="preserve"> (J46-O46)/J46</f>
        <v>5.8269497873138441E-7</v>
      </c>
      <c r="U46" s="886">
        <f t="shared" si="15"/>
        <v>-2.8385226361699372E-7</v>
      </c>
      <c r="V46" s="886">
        <f t="shared" si="15"/>
        <v>5.826949787577788E-7</v>
      </c>
      <c r="W46" s="1112">
        <f t="shared" si="15"/>
        <v>-1.8885672419025177E-6</v>
      </c>
    </row>
    <row r="47" spans="3:23" ht="17.25" x14ac:dyDescent="0.25">
      <c r="C47" s="1199">
        <v>150</v>
      </c>
      <c r="D47" s="59" t="s">
        <v>157</v>
      </c>
      <c r="E47" s="32">
        <f>C47/3.6</f>
        <v>41.666666666666664</v>
      </c>
      <c r="F47" s="71">
        <v>222</v>
      </c>
      <c r="G47" s="59" t="s">
        <v>84</v>
      </c>
      <c r="H47" s="32">
        <f>F47*9.80665</f>
        <v>2177.0762999999997</v>
      </c>
      <c r="I47" s="921">
        <f t="shared" si="9"/>
        <v>52249.831199999993</v>
      </c>
      <c r="J47" s="922">
        <f t="shared" si="10"/>
        <v>52.249831199999996</v>
      </c>
      <c r="K47" s="922">
        <f t="shared" si="11"/>
        <v>115.19115985129996</v>
      </c>
      <c r="L47" s="922">
        <f>J47/1000</f>
        <v>5.2249831199999992E-2</v>
      </c>
      <c r="M47" s="923">
        <f t="shared" si="13"/>
        <v>1679.8710811647911</v>
      </c>
      <c r="N47" s="32">
        <v>52249.8</v>
      </c>
      <c r="O47" s="1060">
        <v>52.2498</v>
      </c>
      <c r="P47" s="1060">
        <v>115.191</v>
      </c>
      <c r="Q47" s="1060">
        <v>5.2249799999999999E-2</v>
      </c>
      <c r="R47" s="32">
        <v>1679.87</v>
      </c>
      <c r="S47" s="897">
        <f t="shared" si="14"/>
        <v>5.9713111552309046E-7</v>
      </c>
      <c r="T47" s="898">
        <f t="shared" si="15"/>
        <v>5.9713111561447536E-7</v>
      </c>
      <c r="U47" s="898">
        <f t="shared" si="15"/>
        <v>1.3877045787310906E-6</v>
      </c>
      <c r="V47" s="898">
        <f t="shared" si="15"/>
        <v>5.9713111557941561E-7</v>
      </c>
      <c r="W47" s="1113">
        <f t="shared" si="15"/>
        <v>6.4359985915162576E-7</v>
      </c>
    </row>
    <row r="48" spans="3:23" ht="18" thickBot="1" x14ac:dyDescent="0.3">
      <c r="C48" s="1200">
        <v>1254</v>
      </c>
      <c r="D48" s="1132" t="s">
        <v>117</v>
      </c>
      <c r="E48" s="1133">
        <f>C48</f>
        <v>1254</v>
      </c>
      <c r="F48" s="1201">
        <v>555</v>
      </c>
      <c r="G48" s="1132" t="s">
        <v>84</v>
      </c>
      <c r="H48" s="1133">
        <f>F48*9.80665</f>
        <v>5442.6907499999998</v>
      </c>
      <c r="I48" s="1202">
        <f t="shared" si="9"/>
        <v>4340.2637559808609</v>
      </c>
      <c r="J48" s="1046">
        <f t="shared" si="10"/>
        <v>4.3402637559808612</v>
      </c>
      <c r="K48" s="1203">
        <f t="shared" si="11"/>
        <v>9.5686436612257406</v>
      </c>
      <c r="L48" s="1203">
        <f>J48/1000</f>
        <v>4.3402637559808608E-3</v>
      </c>
      <c r="M48" s="1204">
        <f t="shared" si="13"/>
        <v>139.54272005954206</v>
      </c>
      <c r="N48" s="1133">
        <v>4340.26</v>
      </c>
      <c r="O48" s="1205">
        <v>4.3402599999999998</v>
      </c>
      <c r="P48" s="1205">
        <v>9.5686400000000003</v>
      </c>
      <c r="Q48" s="1205">
        <v>4.3402600000000003E-3</v>
      </c>
      <c r="R48" s="1133">
        <v>139.54300000000001</v>
      </c>
      <c r="S48" s="1030">
        <f t="shared" si="14"/>
        <v>8.6538078601432457E-7</v>
      </c>
      <c r="T48" s="1009">
        <f t="shared" si="15"/>
        <v>8.6538078619440505E-7</v>
      </c>
      <c r="U48" s="1009">
        <f t="shared" si="15"/>
        <v>3.8262745170405733E-7</v>
      </c>
      <c r="V48" s="1009">
        <f t="shared" si="15"/>
        <v>8.6538078598497192E-7</v>
      </c>
      <c r="W48" s="1206">
        <f t="shared" si="15"/>
        <v>-2.0061272836303502E-6</v>
      </c>
    </row>
    <row r="49" spans="3:23" ht="15.75" thickTop="1" x14ac:dyDescent="0.25">
      <c r="C49" s="1580">
        <v>6450</v>
      </c>
      <c r="D49" s="1486" t="s">
        <v>115</v>
      </c>
      <c r="E49" s="1487">
        <f>C49/100</f>
        <v>64.5</v>
      </c>
      <c r="F49" s="1581">
        <v>6555</v>
      </c>
      <c r="G49" s="1486" t="s">
        <v>85</v>
      </c>
      <c r="H49" s="2183">
        <f>F49</f>
        <v>6555</v>
      </c>
      <c r="I49" s="1582">
        <f t="shared" si="9"/>
        <v>101627.90697674418</v>
      </c>
      <c r="J49" s="1583">
        <f t="shared" si="10"/>
        <v>101.62790697674419</v>
      </c>
      <c r="K49" s="1584">
        <f t="shared" si="11"/>
        <v>224.05118273207324</v>
      </c>
      <c r="L49" s="1584">
        <f t="shared" si="12"/>
        <v>0.10162790697674419</v>
      </c>
      <c r="M49" s="1585">
        <f t="shared" si="13"/>
        <v>3267.4130815094018</v>
      </c>
      <c r="N49" s="1487">
        <v>101628</v>
      </c>
      <c r="O49" s="1527">
        <v>101.628</v>
      </c>
      <c r="P49" s="1527">
        <v>224.05099999999999</v>
      </c>
      <c r="Q49" s="1527">
        <v>0.101628</v>
      </c>
      <c r="R49" s="1487">
        <v>3267.41</v>
      </c>
      <c r="S49" s="1367">
        <f t="shared" si="14"/>
        <v>-9.1533180780696005E-7</v>
      </c>
      <c r="T49" s="1368">
        <f t="shared" si="15"/>
        <v>-9.1533180778794289E-7</v>
      </c>
      <c r="U49" s="1368">
        <f t="shared" si="15"/>
        <v>8.1558182834694651E-7</v>
      </c>
      <c r="V49" s="1368">
        <f t="shared" si="15"/>
        <v>-9.1533180770819474E-7</v>
      </c>
      <c r="W49" s="1586">
        <f t="shared" si="15"/>
        <v>9.4310371080642971E-7</v>
      </c>
    </row>
    <row r="50" spans="3:23" ht="17.25" x14ac:dyDescent="0.25">
      <c r="C50" s="1587">
        <v>36</v>
      </c>
      <c r="D50" s="1269" t="s">
        <v>157</v>
      </c>
      <c r="E50" s="1254">
        <f>C50/3.6</f>
        <v>10</v>
      </c>
      <c r="F50" s="1268">
        <v>7755</v>
      </c>
      <c r="G50" s="1269" t="s">
        <v>85</v>
      </c>
      <c r="H50" s="1285">
        <f>F50</f>
        <v>7755</v>
      </c>
      <c r="I50" s="1306">
        <f t="shared" si="9"/>
        <v>775500</v>
      </c>
      <c r="J50" s="1307">
        <f t="shared" si="10"/>
        <v>775.5</v>
      </c>
      <c r="K50" s="1307">
        <f t="shared" si="11"/>
        <v>1709.6848432437255</v>
      </c>
      <c r="L50" s="1307">
        <f t="shared" si="12"/>
        <v>0.77549999999999997</v>
      </c>
      <c r="M50" s="1308">
        <f t="shared" si="13"/>
        <v>24932.903963970999</v>
      </c>
      <c r="N50" s="1309">
        <v>775500</v>
      </c>
      <c r="O50" s="1446">
        <v>775.5</v>
      </c>
      <c r="P50" s="1446">
        <v>1709.68</v>
      </c>
      <c r="Q50" s="1446">
        <v>0.77549999999999997</v>
      </c>
      <c r="R50" s="1254">
        <v>24932.9</v>
      </c>
      <c r="S50" s="1277">
        <f t="shared" si="14"/>
        <v>0</v>
      </c>
      <c r="T50" s="1278">
        <f t="shared" si="15"/>
        <v>0</v>
      </c>
      <c r="U50" s="1278">
        <f t="shared" si="15"/>
        <v>2.8328283686652218E-6</v>
      </c>
      <c r="V50" s="1278">
        <f t="shared" si="15"/>
        <v>0</v>
      </c>
      <c r="W50" s="1495">
        <f t="shared" si="15"/>
        <v>1.5898553186193619E-7</v>
      </c>
    </row>
    <row r="51" spans="3:23" ht="18" thickBot="1" x14ac:dyDescent="0.3">
      <c r="C51" s="1588">
        <v>678</v>
      </c>
      <c r="D51" s="1479" t="s">
        <v>117</v>
      </c>
      <c r="E51" s="1480">
        <f>C51</f>
        <v>678</v>
      </c>
      <c r="F51" s="1478">
        <v>745</v>
      </c>
      <c r="G51" s="1479" t="s">
        <v>85</v>
      </c>
      <c r="H51" s="2184">
        <f>F51</f>
        <v>745</v>
      </c>
      <c r="I51" s="1387">
        <f t="shared" si="9"/>
        <v>1098.82005899705</v>
      </c>
      <c r="J51" s="1353">
        <f t="shared" si="10"/>
        <v>1.09882005899705</v>
      </c>
      <c r="K51" s="1388">
        <f t="shared" si="11"/>
        <v>2.4224835594061029</v>
      </c>
      <c r="L51" s="1388">
        <f t="shared" si="12"/>
        <v>1.09882005899705E-3</v>
      </c>
      <c r="M51" s="1389">
        <f t="shared" si="13"/>
        <v>35.327885241338997</v>
      </c>
      <c r="N51" s="1440">
        <v>1098.82</v>
      </c>
      <c r="O51" s="1483">
        <v>1.0988199999999999</v>
      </c>
      <c r="P51" s="1483">
        <v>2.4224800000000002</v>
      </c>
      <c r="Q51" s="1483">
        <v>1.0988199999999999E-3</v>
      </c>
      <c r="R51" s="1480">
        <v>35.3279</v>
      </c>
      <c r="S51" s="1392">
        <f t="shared" si="14"/>
        <v>5.3691275050539782E-8</v>
      </c>
      <c r="T51" s="1393">
        <f t="shared" si="15"/>
        <v>5.369127515561903E-8</v>
      </c>
      <c r="U51" s="1393">
        <f t="shared" si="15"/>
        <v>1.46932105645393E-6</v>
      </c>
      <c r="V51" s="1393">
        <f t="shared" si="15"/>
        <v>5.3691275109836303E-8</v>
      </c>
      <c r="W51" s="1589">
        <f t="shared" si="15"/>
        <v>-4.1776236822053632E-7</v>
      </c>
    </row>
    <row r="52" spans="3:23" ht="15.75" thickTop="1" x14ac:dyDescent="0.25"/>
  </sheetData>
  <mergeCells count="31">
    <mergeCell ref="C44:E44"/>
    <mergeCell ref="F44:H44"/>
    <mergeCell ref="I43:M43"/>
    <mergeCell ref="N43:R43"/>
    <mergeCell ref="S43:W43"/>
    <mergeCell ref="I44:M44"/>
    <mergeCell ref="N44:R44"/>
    <mergeCell ref="S44:W44"/>
    <mergeCell ref="O28:Q28"/>
    <mergeCell ref="I29:K29"/>
    <mergeCell ref="L29:N29"/>
    <mergeCell ref="O29:Q29"/>
    <mergeCell ref="C43:H43"/>
    <mergeCell ref="C28:H28"/>
    <mergeCell ref="C29:E29"/>
    <mergeCell ref="F29:H29"/>
    <mergeCell ref="I28:K28"/>
    <mergeCell ref="L28:N28"/>
    <mergeCell ref="K8:L8"/>
    <mergeCell ref="M8:N8"/>
    <mergeCell ref="I9:J9"/>
    <mergeCell ref="K9:L9"/>
    <mergeCell ref="M9:N9"/>
    <mergeCell ref="C2:J2"/>
    <mergeCell ref="C4:E4"/>
    <mergeCell ref="H4:I4"/>
    <mergeCell ref="C8:H8"/>
    <mergeCell ref="C9:E9"/>
    <mergeCell ref="F9:H9"/>
    <mergeCell ref="I8:J8"/>
    <mergeCell ref="E6:G6"/>
  </mergeCells>
  <conditionalFormatting sqref="M11:N25 P31:Q40 S46:W51">
    <cfRule type="cellIs" dxfId="5" priority="1" operator="notBetween">
      <formula>-0.001</formula>
      <formula>0.001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AL24"/>
  <sheetViews>
    <sheetView zoomScaleNormal="100" workbookViewId="0">
      <selection activeCell="B2" sqref="B2"/>
    </sheetView>
  </sheetViews>
  <sheetFormatPr defaultColWidth="18.7109375" defaultRowHeight="15" x14ac:dyDescent="0.25"/>
  <cols>
    <col min="1" max="2" width="5.7109375" style="9" customWidth="1"/>
    <col min="3" max="3" width="12.7109375" style="9" customWidth="1"/>
    <col min="4" max="4" width="10.7109375" style="9" customWidth="1"/>
    <col min="5" max="5" width="18.7109375" style="9"/>
    <col min="6" max="6" width="12.7109375" style="9" customWidth="1"/>
    <col min="7" max="7" width="10.7109375" style="9" customWidth="1"/>
    <col min="8" max="16384" width="18.7109375" style="9"/>
  </cols>
  <sheetData>
    <row r="2" spans="3:38" ht="21" x14ac:dyDescent="0.35">
      <c r="C2" s="2490" t="s">
        <v>26</v>
      </c>
      <c r="D2" s="2491"/>
      <c r="E2" s="2491"/>
      <c r="F2" s="2491"/>
      <c r="G2" s="2491"/>
      <c r="H2" s="2491"/>
      <c r="I2" s="2491"/>
      <c r="J2" s="2491"/>
    </row>
    <row r="3" spans="3:38" x14ac:dyDescent="0.25"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0"/>
    </row>
    <row r="4" spans="3:38" x14ac:dyDescent="0.25">
      <c r="C4" s="2501" t="s">
        <v>22</v>
      </c>
      <c r="D4" s="2502"/>
      <c r="E4" s="2503"/>
      <c r="F4" s="20"/>
      <c r="G4" s="20"/>
      <c r="H4" s="2501" t="s">
        <v>23</v>
      </c>
      <c r="I4" s="2503"/>
      <c r="R4" s="690"/>
      <c r="S4" s="690"/>
      <c r="T4" s="690"/>
      <c r="U4" s="690"/>
      <c r="V4" s="690"/>
      <c r="W4" s="690"/>
      <c r="X4" s="690"/>
      <c r="Y4" s="690"/>
      <c r="Z4" s="690"/>
      <c r="AA4" s="690"/>
      <c r="AB4" s="690"/>
      <c r="AC4" s="690"/>
      <c r="AD4" s="690"/>
      <c r="AE4" s="690"/>
      <c r="AF4" s="690"/>
      <c r="AG4" s="690"/>
      <c r="AH4" s="690"/>
      <c r="AI4" s="690"/>
      <c r="AJ4" s="690"/>
      <c r="AK4" s="690"/>
      <c r="AL4" s="690"/>
    </row>
    <row r="5" spans="3:38" ht="15.75" thickBot="1" x14ac:dyDescent="0.3"/>
    <row r="6" spans="3:38" ht="19.5" thickBot="1" x14ac:dyDescent="0.35">
      <c r="E6" s="2497" t="s">
        <v>130</v>
      </c>
      <c r="F6" s="2498"/>
      <c r="G6" s="2499"/>
    </row>
    <row r="7" spans="3:38" ht="15.75" thickBot="1" x14ac:dyDescent="0.3"/>
    <row r="8" spans="3:38" ht="15.75" thickTop="1" x14ac:dyDescent="0.25">
      <c r="C8" s="2488" t="s">
        <v>0</v>
      </c>
      <c r="D8" s="2489"/>
      <c r="E8" s="2489"/>
      <c r="F8" s="2489"/>
      <c r="G8" s="2489"/>
      <c r="H8" s="2489"/>
      <c r="I8" s="2483" t="s">
        <v>7</v>
      </c>
      <c r="J8" s="2484"/>
      <c r="K8" s="2488" t="s">
        <v>17</v>
      </c>
      <c r="L8" s="2495"/>
      <c r="M8" s="2484" t="s">
        <v>8</v>
      </c>
      <c r="N8" s="2485"/>
    </row>
    <row r="9" spans="3:38" ht="15.75" thickBot="1" x14ac:dyDescent="0.3">
      <c r="C9" s="2486" t="s">
        <v>28</v>
      </c>
      <c r="D9" s="2487"/>
      <c r="E9" s="2487"/>
      <c r="F9" s="2486" t="s">
        <v>153</v>
      </c>
      <c r="G9" s="2487"/>
      <c r="H9" s="2496"/>
      <c r="I9" s="2480" t="s">
        <v>139</v>
      </c>
      <c r="J9" s="2481"/>
      <c r="K9" s="2486" t="s">
        <v>139</v>
      </c>
      <c r="L9" s="2496"/>
      <c r="M9" s="2481" t="s">
        <v>139</v>
      </c>
      <c r="N9" s="2482"/>
    </row>
    <row r="10" spans="3:38" ht="18" thickBot="1" x14ac:dyDescent="0.3">
      <c r="C10" s="82" t="s">
        <v>3</v>
      </c>
      <c r="D10" s="66" t="s">
        <v>4</v>
      </c>
      <c r="E10" s="84" t="s">
        <v>30</v>
      </c>
      <c r="F10" s="82" t="s">
        <v>3</v>
      </c>
      <c r="G10" s="66" t="s">
        <v>4</v>
      </c>
      <c r="H10" s="66" t="s">
        <v>117</v>
      </c>
      <c r="I10" s="808" t="s">
        <v>84</v>
      </c>
      <c r="J10" s="697" t="s">
        <v>85</v>
      </c>
      <c r="K10" s="82" t="s">
        <v>84</v>
      </c>
      <c r="L10" s="699" t="s">
        <v>85</v>
      </c>
      <c r="M10" s="89" t="s">
        <v>84</v>
      </c>
      <c r="N10" s="697" t="s">
        <v>85</v>
      </c>
    </row>
    <row r="11" spans="3:38" ht="18" thickTop="1" x14ac:dyDescent="0.25">
      <c r="C11" s="1091">
        <v>560</v>
      </c>
      <c r="D11" s="1052" t="s">
        <v>32</v>
      </c>
      <c r="E11" s="1053">
        <f>C11/1000</f>
        <v>0.56000000000000005</v>
      </c>
      <c r="F11" s="1168">
        <v>9.8066499999999994</v>
      </c>
      <c r="G11" s="1052" t="s">
        <v>117</v>
      </c>
      <c r="H11" s="1221">
        <f>F11</f>
        <v>9.8066499999999994</v>
      </c>
      <c r="I11" s="1181">
        <f>J11/9.80665</f>
        <v>0.56000000000000005</v>
      </c>
      <c r="J11" s="1214">
        <f>E11*H11</f>
        <v>5.4917240000000005</v>
      </c>
      <c r="K11" s="1051">
        <v>0.56000000000000005</v>
      </c>
      <c r="L11" s="1214">
        <v>5.4917199999999999</v>
      </c>
      <c r="M11" s="1176">
        <f xml:space="preserve"> (I11-K11)/I11</f>
        <v>0</v>
      </c>
      <c r="N11" s="1215">
        <f xml:space="preserve"> (J11-L11)/J11</f>
        <v>7.2836872365747283E-7</v>
      </c>
    </row>
    <row r="12" spans="3:38" ht="17.25" x14ac:dyDescent="0.25">
      <c r="C12" s="71">
        <v>13</v>
      </c>
      <c r="D12" s="59" t="s">
        <v>30</v>
      </c>
      <c r="E12" s="32">
        <f>C12</f>
        <v>13</v>
      </c>
      <c r="F12" s="926">
        <v>9.8066499999999994</v>
      </c>
      <c r="G12" s="59" t="s">
        <v>117</v>
      </c>
      <c r="H12" s="819">
        <f>F12</f>
        <v>9.8066499999999994</v>
      </c>
      <c r="I12" s="1184">
        <f t="shared" ref="I12:I15" si="0">J12/9.80665</f>
        <v>13</v>
      </c>
      <c r="J12" s="1218">
        <f t="shared" ref="J12:J15" si="1">E12*H12</f>
        <v>127.48644999999999</v>
      </c>
      <c r="K12" s="1059">
        <v>13</v>
      </c>
      <c r="L12" s="1218">
        <v>127.486</v>
      </c>
      <c r="M12" s="1115">
        <f t="shared" ref="M12:M15" si="2" xml:space="preserve"> (I12-K12)/I12</f>
        <v>0</v>
      </c>
      <c r="N12" s="1217">
        <f t="shared" ref="N12:N15" si="3" xml:space="preserve"> (J12-L12)/J12</f>
        <v>3.5297868909716821E-6</v>
      </c>
    </row>
    <row r="13" spans="3:38" ht="17.25" x14ac:dyDescent="0.25">
      <c r="C13" s="71">
        <v>189</v>
      </c>
      <c r="D13" s="59" t="s">
        <v>33</v>
      </c>
      <c r="E13" s="32">
        <f>C13*0.45359237</f>
        <v>85.728957930000007</v>
      </c>
      <c r="F13" s="926">
        <v>9.8066499999999994</v>
      </c>
      <c r="G13" s="59" t="s">
        <v>118</v>
      </c>
      <c r="H13" s="819">
        <f>F13</f>
        <v>9.8066499999999994</v>
      </c>
      <c r="I13" s="1184">
        <f t="shared" si="0"/>
        <v>85.728957930000007</v>
      </c>
      <c r="J13" s="1218">
        <f t="shared" si="1"/>
        <v>840.71388528423449</v>
      </c>
      <c r="K13" s="1059">
        <v>85.728999999999999</v>
      </c>
      <c r="L13" s="1218">
        <v>840.71400000000006</v>
      </c>
      <c r="M13" s="1115">
        <f t="shared" si="2"/>
        <v>-4.9073266499371028E-7</v>
      </c>
      <c r="N13" s="1217">
        <f t="shared" si="3"/>
        <v>-1.3645042334888915E-7</v>
      </c>
    </row>
    <row r="14" spans="3:38" ht="17.25" x14ac:dyDescent="0.25">
      <c r="C14" s="71">
        <v>9744</v>
      </c>
      <c r="D14" s="59" t="s">
        <v>34</v>
      </c>
      <c r="E14" s="32">
        <f>C14*1000</f>
        <v>9744000</v>
      </c>
      <c r="F14" s="926">
        <v>9.8066499999999994</v>
      </c>
      <c r="G14" s="59" t="s">
        <v>118</v>
      </c>
      <c r="H14" s="819">
        <f>F14</f>
        <v>9.8066499999999994</v>
      </c>
      <c r="I14" s="1184">
        <f t="shared" si="0"/>
        <v>9744000</v>
      </c>
      <c r="J14" s="1218">
        <f t="shared" si="1"/>
        <v>95555997.599999994</v>
      </c>
      <c r="K14" s="1059">
        <v>9744000</v>
      </c>
      <c r="L14" s="1218">
        <v>95555998</v>
      </c>
      <c r="M14" s="1115">
        <f t="shared" si="2"/>
        <v>0</v>
      </c>
      <c r="N14" s="1217">
        <f t="shared" si="3"/>
        <v>-4.1860272092482918E-9</v>
      </c>
    </row>
    <row r="15" spans="3:38" ht="18" thickBot="1" x14ac:dyDescent="0.3">
      <c r="C15" s="1201">
        <v>855</v>
      </c>
      <c r="D15" s="1132" t="s">
        <v>35</v>
      </c>
      <c r="E15" s="1133">
        <f>C15*31.1034768/1000</f>
        <v>26.593472664</v>
      </c>
      <c r="F15" s="1222">
        <v>9.8066499999999994</v>
      </c>
      <c r="G15" s="1132" t="s">
        <v>118</v>
      </c>
      <c r="H15" s="1223">
        <f>F15</f>
        <v>9.8066499999999994</v>
      </c>
      <c r="I15" s="1224">
        <f t="shared" si="0"/>
        <v>26.593472664</v>
      </c>
      <c r="J15" s="1225">
        <f t="shared" si="1"/>
        <v>260.7928787004156</v>
      </c>
      <c r="K15" s="1131">
        <v>26.593499999999999</v>
      </c>
      <c r="L15" s="1225">
        <v>260.79300000000001</v>
      </c>
      <c r="M15" s="1008">
        <f t="shared" si="2"/>
        <v>-1.0279214130510056E-6</v>
      </c>
      <c r="N15" s="1226">
        <f t="shared" si="3"/>
        <v>-4.6511846876938562E-7</v>
      </c>
    </row>
    <row r="16" spans="3:38" ht="15.75" thickTop="1" x14ac:dyDescent="0.25"/>
    <row r="18" spans="3:23" ht="15.75" thickBot="1" x14ac:dyDescent="0.3"/>
    <row r="19" spans="3:23" ht="15.75" thickTop="1" x14ac:dyDescent="0.25">
      <c r="C19" s="2488" t="s">
        <v>0</v>
      </c>
      <c r="D19" s="2489"/>
      <c r="E19" s="2489"/>
      <c r="F19" s="2489"/>
      <c r="G19" s="2489"/>
      <c r="H19" s="2489"/>
      <c r="I19" s="2506" t="s">
        <v>7</v>
      </c>
      <c r="J19" s="2519"/>
      <c r="K19" s="2519"/>
      <c r="L19" s="2519"/>
      <c r="M19" s="2522"/>
      <c r="N19" s="2509" t="s">
        <v>17</v>
      </c>
      <c r="O19" s="2516"/>
      <c r="P19" s="2516"/>
      <c r="Q19" s="2516"/>
      <c r="R19" s="2523"/>
      <c r="S19" s="2506" t="s">
        <v>8</v>
      </c>
      <c r="T19" s="2519"/>
      <c r="U19" s="2519"/>
      <c r="V19" s="2519"/>
      <c r="W19" s="2522"/>
    </row>
    <row r="20" spans="3:23" ht="15.75" thickBot="1" x14ac:dyDescent="0.3">
      <c r="C20" s="2486" t="s">
        <v>153</v>
      </c>
      <c r="D20" s="2487"/>
      <c r="E20" s="2487"/>
      <c r="F20" s="2486" t="s">
        <v>139</v>
      </c>
      <c r="G20" s="2487"/>
      <c r="H20" s="2487"/>
      <c r="I20" s="2480" t="s">
        <v>28</v>
      </c>
      <c r="J20" s="2481"/>
      <c r="K20" s="2481"/>
      <c r="L20" s="2481"/>
      <c r="M20" s="2482"/>
      <c r="N20" s="2486" t="s">
        <v>28</v>
      </c>
      <c r="O20" s="2487"/>
      <c r="P20" s="2487"/>
      <c r="Q20" s="2487"/>
      <c r="R20" s="2496"/>
      <c r="S20" s="2480" t="s">
        <v>28</v>
      </c>
      <c r="T20" s="2481"/>
      <c r="U20" s="2481"/>
      <c r="V20" s="2481"/>
      <c r="W20" s="2482"/>
    </row>
    <row r="21" spans="3:23" ht="18" thickBot="1" x14ac:dyDescent="0.3">
      <c r="C21" s="82" t="s">
        <v>3</v>
      </c>
      <c r="D21" s="66" t="s">
        <v>4</v>
      </c>
      <c r="E21" s="84" t="s">
        <v>117</v>
      </c>
      <c r="F21" s="82" t="s">
        <v>3</v>
      </c>
      <c r="G21" s="66" t="s">
        <v>4</v>
      </c>
      <c r="H21" s="84" t="s">
        <v>85</v>
      </c>
      <c r="I21" s="86" t="s">
        <v>32</v>
      </c>
      <c r="J21" s="87" t="s">
        <v>30</v>
      </c>
      <c r="K21" s="87" t="s">
        <v>33</v>
      </c>
      <c r="L21" s="87" t="s">
        <v>34</v>
      </c>
      <c r="M21" s="88" t="s">
        <v>35</v>
      </c>
      <c r="N21" s="82" t="s">
        <v>32</v>
      </c>
      <c r="O21" s="83" t="s">
        <v>30</v>
      </c>
      <c r="P21" s="83" t="s">
        <v>33</v>
      </c>
      <c r="Q21" s="83" t="s">
        <v>34</v>
      </c>
      <c r="R21" s="85" t="s">
        <v>35</v>
      </c>
      <c r="S21" s="86" t="s">
        <v>32</v>
      </c>
      <c r="T21" s="87" t="s">
        <v>30</v>
      </c>
      <c r="U21" s="87" t="s">
        <v>33</v>
      </c>
      <c r="V21" s="87" t="s">
        <v>34</v>
      </c>
      <c r="W21" s="88" t="s">
        <v>35</v>
      </c>
    </row>
    <row r="22" spans="3:23" ht="18.75" thickTop="1" thickBot="1" x14ac:dyDescent="0.3">
      <c r="C22" s="1051">
        <v>9.8066499999999994</v>
      </c>
      <c r="D22" s="953" t="s">
        <v>117</v>
      </c>
      <c r="E22" s="1053">
        <f>C22</f>
        <v>9.8066499999999994</v>
      </c>
      <c r="F22" s="1051">
        <v>150</v>
      </c>
      <c r="G22" s="1052" t="s">
        <v>84</v>
      </c>
      <c r="H22" s="1053">
        <f>F22*9.80665</f>
        <v>1470.9974999999999</v>
      </c>
      <c r="I22" s="1195">
        <f t="shared" ref="I22:I23" si="4">J22*1000</f>
        <v>150000</v>
      </c>
      <c r="J22" s="1196">
        <f>H22/E22</f>
        <v>150</v>
      </c>
      <c r="K22" s="1196">
        <f t="shared" ref="K22:K23" si="5">J22/0.45359237</f>
        <v>330.69339327731637</v>
      </c>
      <c r="L22" s="1196">
        <f t="shared" ref="L22:L23" si="6">J22/1000</f>
        <v>0.15</v>
      </c>
      <c r="M22" s="1197">
        <f t="shared" ref="M22:M23" si="7">J22*1000/31.1034768</f>
        <v>4822.6119852941974</v>
      </c>
      <c r="N22" s="1108">
        <v>150000</v>
      </c>
      <c r="O22" s="969">
        <v>150</v>
      </c>
      <c r="P22" s="969">
        <v>330.69299999999998</v>
      </c>
      <c r="Q22" s="1198">
        <v>0.15</v>
      </c>
      <c r="R22" s="970">
        <v>4822.6099999999997</v>
      </c>
      <c r="S22" s="885">
        <f t="shared" ref="S22" si="8" xml:space="preserve"> (I22-N22)/I22</f>
        <v>0</v>
      </c>
      <c r="T22" s="886">
        <f t="shared" ref="T22" si="9" xml:space="preserve"> (J22-O22)/J22</f>
        <v>0</v>
      </c>
      <c r="U22" s="886">
        <f t="shared" ref="U22" si="10" xml:space="preserve"> (K22-P22)/K22</f>
        <v>1.1892506000603737E-6</v>
      </c>
      <c r="V22" s="886">
        <f t="shared" ref="V22" si="11" xml:space="preserve"> (L22-Q22)/L22</f>
        <v>0</v>
      </c>
      <c r="W22" s="887">
        <f t="shared" ref="W22" si="12" xml:space="preserve"> (M22-R22)/M22</f>
        <v>4.1166368014260671E-7</v>
      </c>
    </row>
    <row r="23" spans="3:23" ht="18.75" thickTop="1" thickBot="1" x14ac:dyDescent="0.3">
      <c r="C23" s="1590">
        <v>9.8066499999999994</v>
      </c>
      <c r="D23" s="1591" t="s">
        <v>118</v>
      </c>
      <c r="E23" s="1592">
        <f>C23</f>
        <v>9.8066499999999994</v>
      </c>
      <c r="F23" s="1590">
        <v>677</v>
      </c>
      <c r="G23" s="1591" t="s">
        <v>85</v>
      </c>
      <c r="H23" s="1592">
        <f>F23</f>
        <v>677</v>
      </c>
      <c r="I23" s="1593">
        <f t="shared" si="4"/>
        <v>69034.787618605755</v>
      </c>
      <c r="J23" s="1594">
        <f>H23/E23</f>
        <v>69.034787618605748</v>
      </c>
      <c r="K23" s="1594">
        <f t="shared" si="5"/>
        <v>152.195654478504</v>
      </c>
      <c r="L23" s="1594">
        <f t="shared" si="6"/>
        <v>6.903478761860575E-2</v>
      </c>
      <c r="M23" s="1595">
        <f t="shared" si="7"/>
        <v>2219.5199611448506</v>
      </c>
      <c r="N23" s="1590">
        <v>69034.8</v>
      </c>
      <c r="O23" s="1596">
        <v>69.034800000000004</v>
      </c>
      <c r="P23" s="1596">
        <v>152.196</v>
      </c>
      <c r="Q23" s="1596">
        <v>6.9034799999999993E-2</v>
      </c>
      <c r="R23" s="1597">
        <v>2219.52</v>
      </c>
      <c r="S23" s="1598">
        <f t="shared" ref="S23" si="13" xml:space="preserve"> (I23-N23)/I23</f>
        <v>-1.7935007371393707E-7</v>
      </c>
      <c r="T23" s="1599">
        <f t="shared" ref="T23" si="14" xml:space="preserve"> (J23-O23)/J23</f>
        <v>-1.7935007383415387E-7</v>
      </c>
      <c r="U23" s="1599">
        <f t="shared" ref="U23" si="15" xml:space="preserve"> (K23-P23)/K23</f>
        <v>-2.2702454757018839E-6</v>
      </c>
      <c r="V23" s="1599">
        <f t="shared" ref="V23" si="16" xml:space="preserve"> (L23-Q23)/L23</f>
        <v>-1.7935007364116887E-7</v>
      </c>
      <c r="W23" s="1600">
        <f t="shared" ref="W23" si="17" xml:space="preserve"> (M23-R23)/M23</f>
        <v>-1.7506104933384586E-8</v>
      </c>
    </row>
    <row r="24" spans="3:23" ht="15.75" thickTop="1" x14ac:dyDescent="0.25"/>
  </sheetData>
  <mergeCells count="22">
    <mergeCell ref="S19:W19"/>
    <mergeCell ref="I20:M20"/>
    <mergeCell ref="N20:R20"/>
    <mergeCell ref="S20:W20"/>
    <mergeCell ref="C19:H19"/>
    <mergeCell ref="C20:E20"/>
    <mergeCell ref="F20:H20"/>
    <mergeCell ref="I19:M19"/>
    <mergeCell ref="N19:R19"/>
    <mergeCell ref="K8:L8"/>
    <mergeCell ref="M8:N8"/>
    <mergeCell ref="I9:J9"/>
    <mergeCell ref="K9:L9"/>
    <mergeCell ref="M9:N9"/>
    <mergeCell ref="C2:J2"/>
    <mergeCell ref="C4:E4"/>
    <mergeCell ref="H4:I4"/>
    <mergeCell ref="C8:H8"/>
    <mergeCell ref="C9:E9"/>
    <mergeCell ref="F9:H9"/>
    <mergeCell ref="I8:J8"/>
    <mergeCell ref="E6:G6"/>
  </mergeCells>
  <conditionalFormatting sqref="S22:W23 M11:N15">
    <cfRule type="cellIs" dxfId="4" priority="1" operator="notBetween">
      <formula>-0.001</formula>
      <formula>0.001</formula>
    </cfRule>
  </conditionalFormatting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AL138"/>
  <sheetViews>
    <sheetView zoomScaleNormal="100" workbookViewId="0">
      <selection activeCell="B2" sqref="B2"/>
    </sheetView>
  </sheetViews>
  <sheetFormatPr defaultColWidth="18.7109375" defaultRowHeight="15" x14ac:dyDescent="0.25"/>
  <cols>
    <col min="1" max="2" width="5.7109375" style="9" customWidth="1"/>
    <col min="3" max="3" width="12.7109375" style="9" customWidth="1"/>
    <col min="4" max="4" width="10.7109375" style="9" customWidth="1"/>
    <col min="5" max="5" width="18.7109375" style="9"/>
    <col min="6" max="6" width="12.7109375" style="9" customWidth="1"/>
    <col min="7" max="7" width="10.7109375" style="9" customWidth="1"/>
    <col min="8" max="12" width="18.7109375" style="9"/>
    <col min="13" max="13" width="18.85546875" style="9" bestFit="1" customWidth="1"/>
    <col min="14" max="14" width="19.140625" style="9" bestFit="1" customWidth="1"/>
    <col min="15" max="16" width="18.7109375" style="9"/>
    <col min="17" max="26" width="18.85546875" style="9" bestFit="1" customWidth="1"/>
    <col min="27" max="29" width="19.140625" style="9" bestFit="1" customWidth="1"/>
    <col min="30" max="16384" width="18.7109375" style="9"/>
  </cols>
  <sheetData>
    <row r="2" spans="3:38" ht="21" x14ac:dyDescent="0.35">
      <c r="C2" s="2490" t="s">
        <v>26</v>
      </c>
      <c r="D2" s="2491"/>
      <c r="E2" s="2491"/>
      <c r="F2" s="2491"/>
      <c r="G2" s="2491"/>
      <c r="H2" s="2491"/>
      <c r="I2" s="2491"/>
      <c r="J2" s="2491"/>
    </row>
    <row r="3" spans="3:38" x14ac:dyDescent="0.25"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</row>
    <row r="4" spans="3:38" x14ac:dyDescent="0.25">
      <c r="C4" s="2501" t="s">
        <v>22</v>
      </c>
      <c r="D4" s="2502"/>
      <c r="E4" s="2503"/>
      <c r="F4" s="20"/>
      <c r="G4" s="20"/>
      <c r="H4" s="2501" t="s">
        <v>23</v>
      </c>
      <c r="I4" s="2503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</row>
    <row r="5" spans="3:38" ht="15.75" thickBot="1" x14ac:dyDescent="0.3"/>
    <row r="6" spans="3:38" ht="19.5" thickBot="1" x14ac:dyDescent="0.35">
      <c r="E6" s="2497" t="s">
        <v>64</v>
      </c>
      <c r="F6" s="2498"/>
      <c r="G6" s="2499"/>
    </row>
    <row r="7" spans="3:38" ht="15.75" thickBot="1" x14ac:dyDescent="0.3"/>
    <row r="8" spans="3:38" ht="15.75" thickTop="1" x14ac:dyDescent="0.25">
      <c r="C8" s="2488" t="s">
        <v>0</v>
      </c>
      <c r="D8" s="2489"/>
      <c r="E8" s="2489"/>
      <c r="F8" s="2489"/>
      <c r="G8" s="2489"/>
      <c r="H8" s="2489"/>
      <c r="I8" s="2483" t="s">
        <v>158</v>
      </c>
      <c r="J8" s="2484"/>
      <c r="K8" s="2484"/>
      <c r="L8" s="2484"/>
      <c r="M8" s="2484"/>
      <c r="N8" s="2484"/>
      <c r="O8" s="2484"/>
      <c r="P8" s="2484"/>
      <c r="Q8" s="2485"/>
      <c r="R8" s="2489" t="s">
        <v>17</v>
      </c>
      <c r="S8" s="2489"/>
      <c r="T8" s="2489"/>
      <c r="U8" s="2489"/>
      <c r="V8" s="2489"/>
      <c r="W8" s="2489"/>
      <c r="X8" s="2489"/>
      <c r="Y8" s="2489"/>
      <c r="Z8" s="2489"/>
      <c r="AA8" s="2483" t="s">
        <v>8</v>
      </c>
      <c r="AB8" s="2484"/>
      <c r="AC8" s="2484"/>
      <c r="AD8" s="2484"/>
      <c r="AE8" s="2484"/>
      <c r="AF8" s="2484"/>
      <c r="AG8" s="2484"/>
      <c r="AH8" s="2484"/>
      <c r="AI8" s="2485"/>
    </row>
    <row r="9" spans="3:38" ht="15.75" thickBot="1" x14ac:dyDescent="0.3">
      <c r="C9" s="2486" t="s">
        <v>139</v>
      </c>
      <c r="D9" s="2487"/>
      <c r="E9" s="2487"/>
      <c r="F9" s="2486" t="s">
        <v>154</v>
      </c>
      <c r="G9" s="2487"/>
      <c r="H9" s="2496"/>
      <c r="I9" s="2480" t="s">
        <v>137</v>
      </c>
      <c r="J9" s="2481"/>
      <c r="K9" s="2481"/>
      <c r="L9" s="2481"/>
      <c r="M9" s="2481"/>
      <c r="N9" s="2481"/>
      <c r="O9" s="2481"/>
      <c r="P9" s="2481"/>
      <c r="Q9" s="2482"/>
      <c r="R9" s="2486" t="s">
        <v>137</v>
      </c>
      <c r="S9" s="2487"/>
      <c r="T9" s="2487"/>
      <c r="U9" s="2487"/>
      <c r="V9" s="2487"/>
      <c r="W9" s="2487"/>
      <c r="X9" s="2487"/>
      <c r="Y9" s="2487"/>
      <c r="Z9" s="2496"/>
      <c r="AA9" s="2480" t="s">
        <v>137</v>
      </c>
      <c r="AB9" s="2481"/>
      <c r="AC9" s="2481"/>
      <c r="AD9" s="2481"/>
      <c r="AE9" s="2481"/>
      <c r="AF9" s="2481"/>
      <c r="AG9" s="2481"/>
      <c r="AH9" s="2481"/>
      <c r="AI9" s="2482"/>
    </row>
    <row r="10" spans="3:38" ht="18" thickBot="1" x14ac:dyDescent="0.3">
      <c r="C10" s="82" t="s">
        <v>3</v>
      </c>
      <c r="D10" s="66" t="s">
        <v>4</v>
      </c>
      <c r="E10" s="84" t="s">
        <v>85</v>
      </c>
      <c r="F10" s="82" t="s">
        <v>3</v>
      </c>
      <c r="G10" s="66" t="s">
        <v>4</v>
      </c>
      <c r="H10" s="84" t="s">
        <v>106</v>
      </c>
      <c r="I10" s="86" t="s">
        <v>55</v>
      </c>
      <c r="J10" s="87" t="s">
        <v>56</v>
      </c>
      <c r="K10" s="87" t="s">
        <v>57</v>
      </c>
      <c r="L10" s="87" t="s">
        <v>58</v>
      </c>
      <c r="M10" s="87" t="s">
        <v>59</v>
      </c>
      <c r="N10" s="87" t="s">
        <v>65</v>
      </c>
      <c r="O10" s="87" t="s">
        <v>61</v>
      </c>
      <c r="P10" s="87" t="s">
        <v>66</v>
      </c>
      <c r="Q10" s="88" t="s">
        <v>63</v>
      </c>
      <c r="R10" s="84" t="s">
        <v>55</v>
      </c>
      <c r="S10" s="83" t="s">
        <v>56</v>
      </c>
      <c r="T10" s="83" t="s">
        <v>57</v>
      </c>
      <c r="U10" s="83" t="s">
        <v>58</v>
      </c>
      <c r="V10" s="83" t="s">
        <v>59</v>
      </c>
      <c r="W10" s="83" t="s">
        <v>65</v>
      </c>
      <c r="X10" s="83" t="s">
        <v>61</v>
      </c>
      <c r="Y10" s="83" t="s">
        <v>62</v>
      </c>
      <c r="Z10" s="84" t="s">
        <v>63</v>
      </c>
      <c r="AA10" s="86" t="s">
        <v>55</v>
      </c>
      <c r="AB10" s="87" t="s">
        <v>56</v>
      </c>
      <c r="AC10" s="87" t="s">
        <v>57</v>
      </c>
      <c r="AD10" s="87" t="s">
        <v>58</v>
      </c>
      <c r="AE10" s="87" t="s">
        <v>59</v>
      </c>
      <c r="AF10" s="87" t="s">
        <v>65</v>
      </c>
      <c r="AG10" s="87" t="s">
        <v>61</v>
      </c>
      <c r="AH10" s="87" t="s">
        <v>62</v>
      </c>
      <c r="AI10" s="88" t="s">
        <v>63</v>
      </c>
    </row>
    <row r="11" spans="3:38" ht="15.75" thickTop="1" x14ac:dyDescent="0.25">
      <c r="C11" s="1051">
        <v>540</v>
      </c>
      <c r="D11" s="1052" t="s">
        <v>84</v>
      </c>
      <c r="E11" s="1053">
        <f>C11*9.80665</f>
        <v>5295.5909999999994</v>
      </c>
      <c r="F11" s="1051">
        <v>13</v>
      </c>
      <c r="G11" s="1052" t="s">
        <v>104</v>
      </c>
      <c r="H11" s="1053">
        <f>F11*100</f>
        <v>1300</v>
      </c>
      <c r="I11" s="1051">
        <f>O11*0.00001019716</f>
        <v>4.1538452862738453E-5</v>
      </c>
      <c r="J11" s="1054">
        <f>O11*0.000009869233</f>
        <v>4.0202631885925378E-5</v>
      </c>
      <c r="K11" s="1054">
        <f>O11/100000</f>
        <v>4.0735315384615378E-5</v>
      </c>
      <c r="L11" s="1054">
        <f>O11/1000</f>
        <v>4.0735315384615375E-3</v>
      </c>
      <c r="M11" s="1054">
        <f>O11/9.80665</f>
        <v>0.4153846153846153</v>
      </c>
      <c r="N11" s="1054">
        <f>O11/1000000</f>
        <v>4.073531538461538E-6</v>
      </c>
      <c r="O11" s="1054">
        <f>E11/H11</f>
        <v>4.0735315384615376</v>
      </c>
      <c r="P11" s="1054">
        <f>O11*0.0001450377</f>
        <v>5.9081564521592297E-4</v>
      </c>
      <c r="Q11" s="1055">
        <f>O11*0.007500616</f>
        <v>3.0553995833889225E-2</v>
      </c>
      <c r="R11" s="1227">
        <v>4.1538452862738501E-5</v>
      </c>
      <c r="S11" s="1228">
        <v>4.0202631885925399E-5</v>
      </c>
      <c r="T11" s="1228">
        <v>4.0735315384615398E-5</v>
      </c>
      <c r="U11" s="1054">
        <v>4.0735299999999997E-3</v>
      </c>
      <c r="V11" s="1054">
        <v>0.415385</v>
      </c>
      <c r="W11" s="1228">
        <v>4.0735315384615397E-6</v>
      </c>
      <c r="X11" s="1054">
        <v>4.0735299999999999</v>
      </c>
      <c r="Y11" s="1054">
        <v>5.9081599999999998E-4</v>
      </c>
      <c r="Z11" s="1053">
        <v>3.0554000000000001E-2</v>
      </c>
      <c r="AA11" s="980">
        <f xml:space="preserve"> (I11-R11)/I11</f>
        <v>-1.1419261377640464E-15</v>
      </c>
      <c r="AB11" s="981">
        <f t="shared" ref="AB11:AI26" si="0" xml:space="preserve"> (J11-S11)/J11</f>
        <v>-5.0565820645240282E-16</v>
      </c>
      <c r="AC11" s="981">
        <f t="shared" si="0"/>
        <v>-4.9904586578408667E-16</v>
      </c>
      <c r="AD11" s="981">
        <f t="shared" si="0"/>
        <v>3.7767267132365343E-7</v>
      </c>
      <c r="AE11" s="981">
        <f t="shared" si="0"/>
        <v>-9.2592592614786879E-7</v>
      </c>
      <c r="AF11" s="981">
        <f t="shared" si="0"/>
        <v>-4.1587155482007222E-16</v>
      </c>
      <c r="AG11" s="981">
        <f t="shared" si="0"/>
        <v>3.7767267129128867E-7</v>
      </c>
      <c r="AH11" s="981">
        <f t="shared" si="0"/>
        <v>-6.0049878482597152E-7</v>
      </c>
      <c r="AI11" s="982">
        <f t="shared" si="0"/>
        <v>-1.3635240373974948E-7</v>
      </c>
    </row>
    <row r="12" spans="3:38" ht="15.75" thickBot="1" x14ac:dyDescent="0.3">
      <c r="C12" s="1072">
        <v>600</v>
      </c>
      <c r="D12" s="60" t="s">
        <v>85</v>
      </c>
      <c r="E12" s="55">
        <f>C12</f>
        <v>600</v>
      </c>
      <c r="F12" s="1072">
        <v>211</v>
      </c>
      <c r="G12" s="60" t="s">
        <v>104</v>
      </c>
      <c r="H12" s="55">
        <f>F12*100</f>
        <v>21100</v>
      </c>
      <c r="I12" s="1072">
        <f t="shared" ref="I12:I28" si="1">O12*0.00001019716</f>
        <v>2.8996663507109006E-7</v>
      </c>
      <c r="J12" s="1073">
        <f t="shared" ref="J12:J28" si="2">O12*0.000009869233</f>
        <v>2.8064169668246447E-7</v>
      </c>
      <c r="K12" s="1073">
        <f t="shared" ref="K12:K28" si="3">O12/100000</f>
        <v>2.8436018957345971E-7</v>
      </c>
      <c r="L12" s="1073">
        <f t="shared" ref="L12:L28" si="4">O12/1000</f>
        <v>2.8436018957345971E-5</v>
      </c>
      <c r="M12" s="1073">
        <f t="shared" ref="M12:M28" si="5">O12/9.80665</f>
        <v>2.8996669563353412E-3</v>
      </c>
      <c r="N12" s="1073">
        <f t="shared" ref="N12:N28" si="6">O12/1000000</f>
        <v>2.8436018957345972E-8</v>
      </c>
      <c r="O12" s="1073">
        <f t="shared" ref="O12:O28" si="7">E12/H12</f>
        <v>2.843601895734597E-2</v>
      </c>
      <c r="P12" s="1073">
        <f t="shared" ref="P12:P28" si="8">O12*0.0001450377</f>
        <v>4.1242947867298578E-6</v>
      </c>
      <c r="Q12" s="905">
        <f t="shared" ref="Q12:Q28" si="9">O12*0.007500616</f>
        <v>2.132876587677725E-4</v>
      </c>
      <c r="R12" s="1229">
        <v>2.8996663507109001E-7</v>
      </c>
      <c r="S12" s="1230">
        <v>2.8064169668246399E-7</v>
      </c>
      <c r="T12" s="1230">
        <v>2.8436018957345998E-7</v>
      </c>
      <c r="U12" s="1230">
        <v>2.8436018957346001E-5</v>
      </c>
      <c r="V12" s="1073">
        <v>2.89967E-3</v>
      </c>
      <c r="W12" s="1230">
        <v>2.8436018957345998E-8</v>
      </c>
      <c r="X12" s="1073">
        <v>2.8435999999999999E-2</v>
      </c>
      <c r="Y12" s="1230">
        <v>4.1242947867298603E-6</v>
      </c>
      <c r="Z12" s="55">
        <v>2.1328800000000001E-4</v>
      </c>
      <c r="AA12" s="945">
        <f t="shared" ref="AA12:AA28" si="10" xml:space="preserve"> (I12-R12)/I12</f>
        <v>1.8257120923727921E-16</v>
      </c>
      <c r="AB12" s="946">
        <f t="shared" si="0"/>
        <v>1.6977378574276368E-15</v>
      </c>
      <c r="AC12" s="946">
        <f t="shared" si="0"/>
        <v>-9.3085391599300708E-16</v>
      </c>
      <c r="AD12" s="946">
        <f t="shared" si="0"/>
        <v>-1.0723437112239442E-15</v>
      </c>
      <c r="AE12" s="946">
        <f t="shared" si="0"/>
        <v>-1.0496600832726743E-6</v>
      </c>
      <c r="AF12" s="946">
        <f t="shared" si="0"/>
        <v>-9.3085391599300708E-16</v>
      </c>
      <c r="AG12" s="946">
        <f t="shared" si="0"/>
        <v>6.6666666663957785E-7</v>
      </c>
      <c r="AH12" s="946">
        <f t="shared" si="0"/>
        <v>-6.1612929559230935E-16</v>
      </c>
      <c r="AI12" s="947">
        <f t="shared" si="0"/>
        <v>-1.5998685975416029E-6</v>
      </c>
    </row>
    <row r="13" spans="3:38" ht="15.75" thickTop="1" x14ac:dyDescent="0.25">
      <c r="C13" s="1522">
        <v>780</v>
      </c>
      <c r="D13" s="1523" t="s">
        <v>84</v>
      </c>
      <c r="E13" s="1524">
        <f>C13*9.80665</f>
        <v>7649.1869999999999</v>
      </c>
      <c r="F13" s="1522">
        <v>94</v>
      </c>
      <c r="G13" s="1523" t="s">
        <v>105</v>
      </c>
      <c r="H13" s="1524">
        <f>F13*4046.8564224</f>
        <v>380404.50370560004</v>
      </c>
      <c r="I13" s="1522">
        <f t="shared" si="1"/>
        <v>2.0504484817899315E-7</v>
      </c>
      <c r="J13" s="1526">
        <f t="shared" si="2"/>
        <v>1.9845088064991715E-7</v>
      </c>
      <c r="K13" s="1526">
        <f t="shared" si="3"/>
        <v>2.0108034803709381E-7</v>
      </c>
      <c r="L13" s="1526">
        <f t="shared" si="4"/>
        <v>2.0108034803709381E-5</v>
      </c>
      <c r="M13" s="1526">
        <f t="shared" si="5"/>
        <v>2.0504489100466911E-3</v>
      </c>
      <c r="N13" s="1526">
        <f t="shared" si="6"/>
        <v>2.0108034803709381E-8</v>
      </c>
      <c r="O13" s="1526">
        <f t="shared" si="7"/>
        <v>2.0108034803709381E-2</v>
      </c>
      <c r="P13" s="1526">
        <f t="shared" si="8"/>
        <v>2.9164231194499603E-6</v>
      </c>
      <c r="Q13" s="1525">
        <f t="shared" si="9"/>
        <v>1.5082264757725945E-4</v>
      </c>
      <c r="R13" s="1601">
        <v>2.0504484817899299E-7</v>
      </c>
      <c r="S13" s="1602">
        <v>1.9845088064991699E-7</v>
      </c>
      <c r="T13" s="1602">
        <v>2.01080348037094E-7</v>
      </c>
      <c r="U13" s="1602">
        <v>2.0108034803709402E-5</v>
      </c>
      <c r="V13" s="1526">
        <v>2.0504500000000001E-3</v>
      </c>
      <c r="W13" s="1602">
        <v>2.01080348037094E-8</v>
      </c>
      <c r="X13" s="1526">
        <v>2.0108000000000001E-2</v>
      </c>
      <c r="Y13" s="1602">
        <v>2.9164231194499598E-6</v>
      </c>
      <c r="Z13" s="1524">
        <v>1.5082299999999999E-4</v>
      </c>
      <c r="AA13" s="1341">
        <f t="shared" si="10"/>
        <v>7.7455580581835018E-16</v>
      </c>
      <c r="AB13" s="1342">
        <f t="shared" si="0"/>
        <v>8.0029212815815045E-16</v>
      </c>
      <c r="AC13" s="1342">
        <f t="shared" si="0"/>
        <v>-9.2146477276684218E-16</v>
      </c>
      <c r="AD13" s="1342">
        <f t="shared" si="0"/>
        <v>-1.0109784935499068E-15</v>
      </c>
      <c r="AE13" s="1342">
        <f t="shared" si="0"/>
        <v>-5.315681379288043E-7</v>
      </c>
      <c r="AF13" s="1342">
        <f t="shared" si="0"/>
        <v>-9.872836851073309E-16</v>
      </c>
      <c r="AG13" s="1342">
        <f t="shared" si="0"/>
        <v>1.7308359429201393E-6</v>
      </c>
      <c r="AH13" s="1342">
        <f t="shared" si="0"/>
        <v>1.4521777406120196E-16</v>
      </c>
      <c r="AI13" s="1343">
        <f t="shared" si="0"/>
        <v>-2.3366698980645315E-6</v>
      </c>
    </row>
    <row r="14" spans="3:38" ht="15.75" thickBot="1" x14ac:dyDescent="0.3">
      <c r="C14" s="1440">
        <v>123</v>
      </c>
      <c r="D14" s="1348" t="s">
        <v>85</v>
      </c>
      <c r="E14" s="1351">
        <f>C14</f>
        <v>123</v>
      </c>
      <c r="F14" s="1440">
        <v>549</v>
      </c>
      <c r="G14" s="1348" t="s">
        <v>105</v>
      </c>
      <c r="H14" s="1351">
        <f>F14*4046.8564224</f>
        <v>2221724.1758976001</v>
      </c>
      <c r="I14" s="1440">
        <f t="shared" si="1"/>
        <v>5.6453933103251642E-10</v>
      </c>
      <c r="J14" s="1451">
        <f t="shared" si="2"/>
        <v>5.463845027070317E-10</v>
      </c>
      <c r="K14" s="1451">
        <f t="shared" si="3"/>
        <v>5.5362407869692778E-10</v>
      </c>
      <c r="L14" s="1451">
        <f t="shared" si="4"/>
        <v>5.5362407869692776E-8</v>
      </c>
      <c r="M14" s="1451">
        <f t="shared" si="5"/>
        <v>5.6453944894222569E-6</v>
      </c>
      <c r="N14" s="1451">
        <f t="shared" si="6"/>
        <v>5.5362407869692775E-11</v>
      </c>
      <c r="O14" s="1451">
        <f t="shared" si="7"/>
        <v>5.5362407869692776E-5</v>
      </c>
      <c r="P14" s="1451">
        <f t="shared" si="8"/>
        <v>8.0296363038821402E-9</v>
      </c>
      <c r="Q14" s="1375">
        <f t="shared" si="9"/>
        <v>4.1525216226594354E-7</v>
      </c>
      <c r="R14" s="1603">
        <v>5.6453933103251601E-10</v>
      </c>
      <c r="S14" s="1501">
        <v>5.4638450270703201E-10</v>
      </c>
      <c r="T14" s="1501">
        <v>5.5362407869692798E-10</v>
      </c>
      <c r="U14" s="1501">
        <v>5.5362407869692803E-8</v>
      </c>
      <c r="V14" s="1501">
        <v>5.6453944894222603E-6</v>
      </c>
      <c r="W14" s="1501">
        <v>5.5362407869692801E-11</v>
      </c>
      <c r="X14" s="1501">
        <v>5.5362407869692803E-5</v>
      </c>
      <c r="Y14" s="1501">
        <v>8.0296363038821402E-9</v>
      </c>
      <c r="Z14" s="1603">
        <v>4.1525216226594402E-7</v>
      </c>
      <c r="AA14" s="1296">
        <f t="shared" si="10"/>
        <v>7.3261557440130207E-16</v>
      </c>
      <c r="AB14" s="1297">
        <f t="shared" si="0"/>
        <v>-5.6771875514505388E-16</v>
      </c>
      <c r="AC14" s="1297">
        <f t="shared" si="0"/>
        <v>-3.735299115330991E-16</v>
      </c>
      <c r="AD14" s="1297">
        <f t="shared" si="0"/>
        <v>-4.7811828676236681E-16</v>
      </c>
      <c r="AE14" s="1297">
        <f t="shared" si="0"/>
        <v>-6.0015855320040508E-16</v>
      </c>
      <c r="AF14" s="1297">
        <f t="shared" si="0"/>
        <v>-4.6691238941637387E-16</v>
      </c>
      <c r="AG14" s="1297">
        <f t="shared" si="0"/>
        <v>-4.895931256446636E-16</v>
      </c>
      <c r="AH14" s="1297">
        <f t="shared" si="0"/>
        <v>0</v>
      </c>
      <c r="AI14" s="1298">
        <f t="shared" si="0"/>
        <v>-1.1473896492931518E-15</v>
      </c>
    </row>
    <row r="15" spans="3:38" ht="18" thickTop="1" x14ac:dyDescent="0.25">
      <c r="C15" s="303">
        <v>541</v>
      </c>
      <c r="D15" s="304" t="s">
        <v>84</v>
      </c>
      <c r="E15" s="305">
        <f>C15*9.80665</f>
        <v>5305.3976499999999</v>
      </c>
      <c r="F15" s="303">
        <v>63</v>
      </c>
      <c r="G15" s="304" t="s">
        <v>112</v>
      </c>
      <c r="H15" s="305">
        <f>F15/10000</f>
        <v>6.3E-3</v>
      </c>
      <c r="I15" s="303">
        <f t="shared" si="1"/>
        <v>8.5872997937577775</v>
      </c>
      <c r="J15" s="323">
        <f t="shared" si="2"/>
        <v>8.311143740555945</v>
      </c>
      <c r="K15" s="323">
        <f t="shared" si="3"/>
        <v>8.4212661111111107</v>
      </c>
      <c r="L15" s="323">
        <f t="shared" si="4"/>
        <v>842.12661111111117</v>
      </c>
      <c r="M15" s="323">
        <f t="shared" si="5"/>
        <v>85873.015873015873</v>
      </c>
      <c r="N15" s="323">
        <f t="shared" si="6"/>
        <v>0.84212661111111109</v>
      </c>
      <c r="O15" s="323">
        <f t="shared" si="7"/>
        <v>842126.61111111112</v>
      </c>
      <c r="P15" s="323">
        <f t="shared" si="8"/>
        <v>122.14010678435001</v>
      </c>
      <c r="Q15" s="306">
        <f t="shared" si="9"/>
        <v>6316.4683333257781</v>
      </c>
      <c r="R15" s="305">
        <v>8.5873000000000008</v>
      </c>
      <c r="S15" s="323">
        <v>8.31114</v>
      </c>
      <c r="T15" s="323">
        <v>8.4212699999999998</v>
      </c>
      <c r="U15" s="323">
        <v>842.12699999999995</v>
      </c>
      <c r="V15" s="323">
        <v>85873</v>
      </c>
      <c r="W15" s="323">
        <v>0.84212699999999996</v>
      </c>
      <c r="X15" s="323">
        <v>842127</v>
      </c>
      <c r="Y15" s="323">
        <v>122.14</v>
      </c>
      <c r="Z15" s="305">
        <v>6316.47</v>
      </c>
      <c r="AA15" s="307">
        <f t="shared" si="10"/>
        <v>-2.4017121592690739E-8</v>
      </c>
      <c r="AB15" s="341">
        <f t="shared" si="0"/>
        <v>4.5006512481955419E-7</v>
      </c>
      <c r="AC15" s="341">
        <f t="shared" si="0"/>
        <v>-4.6179384879019173E-7</v>
      </c>
      <c r="AD15" s="341">
        <f t="shared" si="0"/>
        <v>-4.6179384862987958E-7</v>
      </c>
      <c r="AE15" s="341">
        <f t="shared" si="0"/>
        <v>1.8484288354629354E-7</v>
      </c>
      <c r="AF15" s="341">
        <f t="shared" si="0"/>
        <v>-4.6179384873745747E-7</v>
      </c>
      <c r="AG15" s="341">
        <f t="shared" si="0"/>
        <v>-4.6179384874543933E-7</v>
      </c>
      <c r="AH15" s="341">
        <f t="shared" si="0"/>
        <v>8.7427752292771212E-7</v>
      </c>
      <c r="AI15" s="342">
        <f t="shared" si="0"/>
        <v>-2.6386172370805722E-7</v>
      </c>
    </row>
    <row r="16" spans="3:38" ht="18" thickBot="1" x14ac:dyDescent="0.3">
      <c r="C16" s="312">
        <v>2355</v>
      </c>
      <c r="D16" s="63" t="s">
        <v>85</v>
      </c>
      <c r="E16" s="39">
        <f>C16</f>
        <v>2355</v>
      </c>
      <c r="F16" s="312">
        <v>641</v>
      </c>
      <c r="G16" s="63" t="s">
        <v>112</v>
      </c>
      <c r="H16" s="39">
        <f>F16/10000</f>
        <v>6.4100000000000004E-2</v>
      </c>
      <c r="I16" s="312">
        <f t="shared" si="1"/>
        <v>0.37463824960998443</v>
      </c>
      <c r="J16" s="118">
        <f t="shared" si="2"/>
        <v>0.3625903855694228</v>
      </c>
      <c r="K16" s="118">
        <f t="shared" si="3"/>
        <v>0.36739469578783152</v>
      </c>
      <c r="L16" s="118">
        <f t="shared" si="4"/>
        <v>36.739469578783151</v>
      </c>
      <c r="M16" s="118">
        <f t="shared" si="5"/>
        <v>3746.3832785694558</v>
      </c>
      <c r="N16" s="118">
        <f t="shared" si="6"/>
        <v>3.673946957878315E-2</v>
      </c>
      <c r="O16" s="118">
        <f t="shared" si="7"/>
        <v>36739.469578783152</v>
      </c>
      <c r="P16" s="118">
        <f t="shared" si="8"/>
        <v>5.3286081669266778</v>
      </c>
      <c r="Q16" s="40">
        <f t="shared" si="9"/>
        <v>275.56865335413414</v>
      </c>
      <c r="R16" s="39">
        <v>0.37463800000000003</v>
      </c>
      <c r="S16" s="118">
        <v>0.36259000000000002</v>
      </c>
      <c r="T16" s="118">
        <v>0.36739500000000003</v>
      </c>
      <c r="U16" s="118">
        <v>36.7395</v>
      </c>
      <c r="V16" s="118">
        <v>3746.38</v>
      </c>
      <c r="W16" s="118">
        <v>3.6739500000000001E-2</v>
      </c>
      <c r="X16" s="118">
        <v>36739.5</v>
      </c>
      <c r="Y16" s="118">
        <v>5.3286100000000003</v>
      </c>
      <c r="Z16" s="39">
        <v>275.56900000000002</v>
      </c>
      <c r="AA16" s="176">
        <f t="shared" si="10"/>
        <v>6.662693536068399E-7</v>
      </c>
      <c r="AB16" s="177">
        <f t="shared" si="0"/>
        <v>1.0633746456702998E-6</v>
      </c>
      <c r="AC16" s="177">
        <f t="shared" si="0"/>
        <v>-8.2802547777442427E-7</v>
      </c>
      <c r="AD16" s="177">
        <f t="shared" si="0"/>
        <v>-8.2802547770794287E-7</v>
      </c>
      <c r="AE16" s="177">
        <f t="shared" si="0"/>
        <v>8.7512921447261546E-7</v>
      </c>
      <c r="AF16" s="177">
        <f t="shared" si="0"/>
        <v>-8.2802547777442427E-7</v>
      </c>
      <c r="AG16" s="177">
        <f t="shared" si="0"/>
        <v>-8.2802547770175413E-7</v>
      </c>
      <c r="AH16" s="177">
        <f t="shared" si="0"/>
        <v>-3.440060265348975E-7</v>
      </c>
      <c r="AI16" s="178">
        <f t="shared" si="0"/>
        <v>-1.2579292370728608E-6</v>
      </c>
    </row>
    <row r="17" spans="3:35" ht="18" thickTop="1" x14ac:dyDescent="0.25">
      <c r="C17" s="403">
        <v>4500</v>
      </c>
      <c r="D17" s="826" t="s">
        <v>84</v>
      </c>
      <c r="E17" s="404">
        <f>C17*9.80665</f>
        <v>44129.924999999996</v>
      </c>
      <c r="F17" s="403">
        <v>611</v>
      </c>
      <c r="G17" s="826" t="s">
        <v>107</v>
      </c>
      <c r="H17" s="404">
        <f>F17/100</f>
        <v>6.11</v>
      </c>
      <c r="I17" s="403">
        <f t="shared" si="1"/>
        <v>7.3649739118330587E-2</v>
      </c>
      <c r="J17" s="433">
        <f t="shared" si="2"/>
        <v>7.1281262209087551E-2</v>
      </c>
      <c r="K17" s="433">
        <f t="shared" si="3"/>
        <v>7.222573649754499E-2</v>
      </c>
      <c r="L17" s="433">
        <f t="shared" si="4"/>
        <v>7.2225736497544997</v>
      </c>
      <c r="M17" s="433">
        <f t="shared" si="5"/>
        <v>736.49754500818324</v>
      </c>
      <c r="N17" s="433">
        <f t="shared" si="6"/>
        <v>7.2225736497544997E-3</v>
      </c>
      <c r="O17" s="433">
        <f t="shared" si="7"/>
        <v>7222.5736497544995</v>
      </c>
      <c r="P17" s="433">
        <f t="shared" si="8"/>
        <v>1.0475454702409983</v>
      </c>
      <c r="Q17" s="405">
        <f t="shared" si="9"/>
        <v>54.173751478526995</v>
      </c>
      <c r="R17" s="404">
        <v>7.3649699999999999E-2</v>
      </c>
      <c r="S17" s="433">
        <v>7.1281300000000006E-2</v>
      </c>
      <c r="T17" s="433">
        <v>7.2225700000000004E-2</v>
      </c>
      <c r="U17" s="433">
        <v>7.2225700000000002</v>
      </c>
      <c r="V17" s="433">
        <v>736.49800000000005</v>
      </c>
      <c r="W17" s="433">
        <v>7.2225700000000002E-3</v>
      </c>
      <c r="X17" s="433">
        <v>7222.57</v>
      </c>
      <c r="Y17" s="433">
        <v>1.04755</v>
      </c>
      <c r="Z17" s="404">
        <v>54.1738</v>
      </c>
      <c r="AA17" s="370">
        <f t="shared" si="10"/>
        <v>5.311401107045618E-7</v>
      </c>
      <c r="AB17" s="424">
        <f t="shared" si="0"/>
        <v>-5.3016615143648545E-7</v>
      </c>
      <c r="AC17" s="424">
        <f t="shared" si="0"/>
        <v>5.0532603412756618E-7</v>
      </c>
      <c r="AD17" s="424">
        <f t="shared" si="0"/>
        <v>5.0532603425053874E-7</v>
      </c>
      <c r="AE17" s="424">
        <f t="shared" si="0"/>
        <v>-6.1777777793471017E-7</v>
      </c>
      <c r="AF17" s="424">
        <f t="shared" si="0"/>
        <v>5.053260342476565E-7</v>
      </c>
      <c r="AG17" s="424">
        <f t="shared" si="0"/>
        <v>5.053260342830035E-7</v>
      </c>
      <c r="AH17" s="424">
        <f t="shared" si="0"/>
        <v>-4.3241645640719248E-6</v>
      </c>
      <c r="AI17" s="518">
        <f t="shared" si="0"/>
        <v>-8.9566389036318003E-7</v>
      </c>
    </row>
    <row r="18" spans="3:35" ht="18" thickBot="1" x14ac:dyDescent="0.3">
      <c r="C18" s="422">
        <v>970</v>
      </c>
      <c r="D18" s="228" t="s">
        <v>85</v>
      </c>
      <c r="E18" s="229">
        <f>C18</f>
        <v>970</v>
      </c>
      <c r="F18" s="422">
        <v>1291</v>
      </c>
      <c r="G18" s="228" t="s">
        <v>107</v>
      </c>
      <c r="H18" s="229">
        <f>F18/100</f>
        <v>12.91</v>
      </c>
      <c r="I18" s="422">
        <f t="shared" si="1"/>
        <v>7.6616926413632851E-4</v>
      </c>
      <c r="J18" s="423">
        <f t="shared" si="2"/>
        <v>7.4153028737412863E-4</v>
      </c>
      <c r="K18" s="423">
        <f t="shared" si="3"/>
        <v>7.5135553834237035E-4</v>
      </c>
      <c r="L18" s="423">
        <f t="shared" si="4"/>
        <v>7.5135553834237034E-2</v>
      </c>
      <c r="M18" s="423">
        <f t="shared" si="5"/>
        <v>7.661694241584744</v>
      </c>
      <c r="N18" s="423">
        <f t="shared" si="6"/>
        <v>7.5135553834237035E-5</v>
      </c>
      <c r="O18" s="423">
        <f t="shared" si="7"/>
        <v>75.135553834237029</v>
      </c>
      <c r="P18" s="423">
        <f t="shared" si="8"/>
        <v>1.089748791634392E-2</v>
      </c>
      <c r="Q18" s="230">
        <f t="shared" si="9"/>
        <v>0.5635629372579396</v>
      </c>
      <c r="R18" s="855">
        <v>7.6616900000000003E-4</v>
      </c>
      <c r="S18" s="856">
        <v>7.4153000000000001E-4</v>
      </c>
      <c r="T18" s="856">
        <v>7.5135600000000001E-4</v>
      </c>
      <c r="U18" s="423">
        <v>7.5135599999999997E-2</v>
      </c>
      <c r="V18" s="423">
        <v>7.6616900000000001</v>
      </c>
      <c r="W18" s="856">
        <v>7.5135553834236994E-5</v>
      </c>
      <c r="X18" s="423">
        <v>75.135599999999997</v>
      </c>
      <c r="Y18" s="423">
        <v>1.0897499999999999E-2</v>
      </c>
      <c r="Z18" s="229">
        <v>0.56356300000000004</v>
      </c>
      <c r="AA18" s="437">
        <f t="shared" si="10"/>
        <v>3.4474931433798829E-7</v>
      </c>
      <c r="AB18" s="438">
        <f t="shared" si="0"/>
        <v>3.8754199728573172E-7</v>
      </c>
      <c r="AC18" s="438">
        <f t="shared" si="0"/>
        <v>-6.1443298957744525E-7</v>
      </c>
      <c r="AD18" s="438">
        <f t="shared" si="0"/>
        <v>-6.1443298953126935E-7</v>
      </c>
      <c r="AE18" s="438">
        <f t="shared" si="0"/>
        <v>5.5360924230813962E-7</v>
      </c>
      <c r="AF18" s="438">
        <f t="shared" si="0"/>
        <v>5.4112306881911836E-16</v>
      </c>
      <c r="AG18" s="438">
        <f t="shared" si="0"/>
        <v>-6.1443298959332976E-7</v>
      </c>
      <c r="AH18" s="438">
        <f t="shared" si="0"/>
        <v>-1.1088478530076531E-6</v>
      </c>
      <c r="AI18" s="439">
        <f t="shared" si="0"/>
        <v>-1.11331062225757E-7</v>
      </c>
    </row>
    <row r="19" spans="3:35" ht="15.75" thickTop="1" x14ac:dyDescent="0.25">
      <c r="C19" s="1745">
        <v>56</v>
      </c>
      <c r="D19" s="1749" t="s">
        <v>84</v>
      </c>
      <c r="E19" s="1750">
        <f>C19*9.80665</f>
        <v>549.17239999999993</v>
      </c>
      <c r="F19" s="1745">
        <v>1255</v>
      </c>
      <c r="G19" s="1749" t="s">
        <v>108</v>
      </c>
      <c r="H19" s="1750">
        <f>F19*10000</f>
        <v>12550000</v>
      </c>
      <c r="I19" s="1745">
        <f t="shared" si="1"/>
        <v>4.4621504624573699E-10</v>
      </c>
      <c r="J19" s="1717">
        <f t="shared" si="2"/>
        <v>4.3186536834814341E-10</v>
      </c>
      <c r="K19" s="1717">
        <f t="shared" si="3"/>
        <v>4.375875697211155E-10</v>
      </c>
      <c r="L19" s="1717">
        <f t="shared" si="4"/>
        <v>4.3758756972111546E-8</v>
      </c>
      <c r="M19" s="1717">
        <f t="shared" si="5"/>
        <v>4.4621513944223102E-6</v>
      </c>
      <c r="N19" s="1717">
        <f t="shared" si="6"/>
        <v>4.3758756972111547E-11</v>
      </c>
      <c r="O19" s="1717">
        <f t="shared" si="7"/>
        <v>4.375875697211155E-5</v>
      </c>
      <c r="P19" s="1717">
        <f t="shared" si="8"/>
        <v>6.3466694660940241E-9</v>
      </c>
      <c r="Q19" s="1746">
        <f t="shared" si="9"/>
        <v>3.2821763268513144E-7</v>
      </c>
      <c r="R19" s="1751">
        <v>4.4621504624573699E-10</v>
      </c>
      <c r="S19" s="1752">
        <v>4.3186536834814299E-10</v>
      </c>
      <c r="T19" s="1752">
        <v>4.3758756972111602E-10</v>
      </c>
      <c r="U19" s="1752">
        <v>4.37587569721115E-8</v>
      </c>
      <c r="V19" s="1752">
        <v>4.4621513944223102E-6</v>
      </c>
      <c r="W19" s="1752">
        <v>4.3758756972111501E-11</v>
      </c>
      <c r="X19" s="1752">
        <v>4.3758756972111597E-5</v>
      </c>
      <c r="Y19" s="1752">
        <v>6.3466694660940199E-9</v>
      </c>
      <c r="Z19" s="1751">
        <v>3.2821763268513101E-7</v>
      </c>
      <c r="AA19" s="1665">
        <f t="shared" si="10"/>
        <v>0</v>
      </c>
      <c r="AB19" s="1666">
        <f t="shared" si="0"/>
        <v>9.5768342772764927E-16</v>
      </c>
      <c r="AC19" s="1666">
        <f t="shared" si="0"/>
        <v>-1.181450111060354E-15</v>
      </c>
      <c r="AD19" s="1666">
        <f t="shared" si="0"/>
        <v>1.0585792995100772E-15</v>
      </c>
      <c r="AE19" s="1666">
        <f t="shared" si="0"/>
        <v>0</v>
      </c>
      <c r="AF19" s="1666">
        <f t="shared" si="0"/>
        <v>1.0337688471778097E-15</v>
      </c>
      <c r="AG19" s="1666">
        <f t="shared" si="0"/>
        <v>-1.083985202698319E-15</v>
      </c>
      <c r="AH19" s="1666">
        <f t="shared" si="0"/>
        <v>6.5166511110441157E-16</v>
      </c>
      <c r="AI19" s="1667">
        <f t="shared" si="0"/>
        <v>1.2903525936811617E-15</v>
      </c>
    </row>
    <row r="20" spans="3:35" ht="15.75" thickBot="1" x14ac:dyDescent="0.3">
      <c r="C20" s="1753">
        <v>9</v>
      </c>
      <c r="D20" s="492" t="s">
        <v>85</v>
      </c>
      <c r="E20" s="1748">
        <f>C20</f>
        <v>9</v>
      </c>
      <c r="F20" s="1753">
        <v>15006</v>
      </c>
      <c r="G20" s="492" t="s">
        <v>108</v>
      </c>
      <c r="H20" s="1748">
        <f>F20*10000</f>
        <v>150060000</v>
      </c>
      <c r="I20" s="1753">
        <f t="shared" si="1"/>
        <v>6.1158496601359459E-13</v>
      </c>
      <c r="J20" s="1718">
        <f t="shared" si="2"/>
        <v>5.919172131147541E-13</v>
      </c>
      <c r="K20" s="1718">
        <f t="shared" si="3"/>
        <v>5.9976009596161531E-13</v>
      </c>
      <c r="L20" s="1718">
        <f t="shared" si="4"/>
        <v>5.9976009596161539E-11</v>
      </c>
      <c r="M20" s="1718">
        <f t="shared" si="5"/>
        <v>6.115850937492573E-9</v>
      </c>
      <c r="N20" s="1718">
        <f t="shared" si="6"/>
        <v>5.9976009596161541E-14</v>
      </c>
      <c r="O20" s="1718">
        <f t="shared" si="7"/>
        <v>5.9976009596161535E-8</v>
      </c>
      <c r="P20" s="1718">
        <f t="shared" si="8"/>
        <v>8.698782487005199E-12</v>
      </c>
      <c r="Q20" s="1754">
        <f t="shared" si="9"/>
        <v>4.4985701719312275E-10</v>
      </c>
      <c r="R20" s="1755">
        <v>6.11584966013595E-13</v>
      </c>
      <c r="S20" s="1756">
        <v>5.91917213114754E-13</v>
      </c>
      <c r="T20" s="1756">
        <v>5.9976009596161501E-13</v>
      </c>
      <c r="U20" s="1756">
        <v>5.99760095961615E-11</v>
      </c>
      <c r="V20" s="1756">
        <v>6.1158509374925697E-9</v>
      </c>
      <c r="W20" s="1756">
        <v>5.9976009596161503E-14</v>
      </c>
      <c r="X20" s="1756">
        <v>5.9976009596161495E-8</v>
      </c>
      <c r="Y20" s="1756">
        <v>8.6987824870052006E-12</v>
      </c>
      <c r="Z20" s="1755">
        <v>4.4985701719312301E-10</v>
      </c>
      <c r="AA20" s="1757">
        <f t="shared" si="10"/>
        <v>-6.6040992816716829E-16</v>
      </c>
      <c r="AB20" s="1719">
        <f t="shared" si="0"/>
        <v>1.7058837558878998E-16</v>
      </c>
      <c r="AC20" s="1719">
        <f t="shared" si="0"/>
        <v>5.0507292773318413E-16</v>
      </c>
      <c r="AD20" s="1719">
        <f t="shared" si="0"/>
        <v>6.4649334749847569E-16</v>
      </c>
      <c r="AE20" s="1719">
        <f t="shared" si="0"/>
        <v>5.4100770015965234E-16</v>
      </c>
      <c r="AF20" s="1719">
        <f t="shared" si="0"/>
        <v>6.3134115966648007E-16</v>
      </c>
      <c r="AG20" s="1719">
        <f t="shared" si="0"/>
        <v>6.6200918783843911E-16</v>
      </c>
      <c r="AH20" s="1719">
        <f t="shared" si="0"/>
        <v>-1.8572566175853921E-16</v>
      </c>
      <c r="AI20" s="1758">
        <f t="shared" si="0"/>
        <v>-5.7461355840504802E-16</v>
      </c>
    </row>
    <row r="21" spans="3:35" ht="18" thickTop="1" x14ac:dyDescent="0.25">
      <c r="C21" s="1894">
        <v>41</v>
      </c>
      <c r="D21" s="1916" t="s">
        <v>84</v>
      </c>
      <c r="E21" s="1917">
        <f>C21*9.80665</f>
        <v>402.07264999999995</v>
      </c>
      <c r="F21" s="1894">
        <v>487</v>
      </c>
      <c r="G21" s="1916" t="s">
        <v>106</v>
      </c>
      <c r="H21" s="1917">
        <f>F21</f>
        <v>487</v>
      </c>
      <c r="I21" s="1894">
        <f t="shared" si="1"/>
        <v>8.4188894120615997E-6</v>
      </c>
      <c r="J21" s="1895">
        <f t="shared" si="2"/>
        <v>8.1481492110419907E-6</v>
      </c>
      <c r="K21" s="1895">
        <f t="shared" si="3"/>
        <v>8.2561119096509223E-6</v>
      </c>
      <c r="L21" s="1895">
        <f t="shared" si="4"/>
        <v>8.2561119096509223E-4</v>
      </c>
      <c r="M21" s="1895">
        <f t="shared" si="5"/>
        <v>8.4188911704312114E-2</v>
      </c>
      <c r="N21" s="1895">
        <f t="shared" si="6"/>
        <v>8.2561119096509231E-7</v>
      </c>
      <c r="O21" s="1895">
        <f t="shared" si="7"/>
        <v>0.82561119096509228</v>
      </c>
      <c r="P21" s="1895">
        <f t="shared" si="8"/>
        <v>1.1974474823183777E-4</v>
      </c>
      <c r="Q21" s="1896">
        <f t="shared" si="9"/>
        <v>6.1925925087318269E-3</v>
      </c>
      <c r="R21" s="1918">
        <v>8.4188894120615997E-6</v>
      </c>
      <c r="S21" s="1919">
        <v>8.1481492110419907E-6</v>
      </c>
      <c r="T21" s="1919">
        <v>8.2561119096509206E-6</v>
      </c>
      <c r="U21" s="1895">
        <v>8.2561099999999997E-4</v>
      </c>
      <c r="V21" s="1895">
        <v>8.4188899999999997E-2</v>
      </c>
      <c r="W21" s="1919">
        <v>8.25611190965092E-7</v>
      </c>
      <c r="X21" s="1895">
        <v>0.82561099999999998</v>
      </c>
      <c r="Y21" s="1895">
        <v>1.19745E-4</v>
      </c>
      <c r="Z21" s="1917">
        <v>6.1925900000000004E-3</v>
      </c>
      <c r="AA21" s="1897">
        <f t="shared" si="10"/>
        <v>0</v>
      </c>
      <c r="AB21" s="1920">
        <f t="shared" si="0"/>
        <v>0</v>
      </c>
      <c r="AC21" s="1920">
        <f t="shared" si="0"/>
        <v>2.0518930860522064E-16</v>
      </c>
      <c r="AD21" s="1920">
        <f t="shared" si="0"/>
        <v>2.3130148228784188E-7</v>
      </c>
      <c r="AE21" s="1920">
        <f t="shared" si="0"/>
        <v>1.3902439026448583E-7</v>
      </c>
      <c r="AF21" s="1920">
        <f t="shared" si="0"/>
        <v>3.8472995363478869E-16</v>
      </c>
      <c r="AG21" s="1920">
        <f t="shared" si="0"/>
        <v>2.3130148232566237E-7</v>
      </c>
      <c r="AH21" s="1920">
        <f t="shared" si="0"/>
        <v>-2.1025403280236411E-6</v>
      </c>
      <c r="AI21" s="1921">
        <f t="shared" si="0"/>
        <v>4.0511818320154804E-7</v>
      </c>
    </row>
    <row r="22" spans="3:35" ht="18" thickBot="1" x14ac:dyDescent="0.3">
      <c r="C22" s="1867">
        <v>5</v>
      </c>
      <c r="D22" s="1813" t="s">
        <v>85</v>
      </c>
      <c r="E22" s="1868">
        <f>C22</f>
        <v>5</v>
      </c>
      <c r="F22" s="1867">
        <v>361</v>
      </c>
      <c r="G22" s="1813" t="s">
        <v>106</v>
      </c>
      <c r="H22" s="1868">
        <f>F22</f>
        <v>361</v>
      </c>
      <c r="I22" s="1867">
        <f t="shared" si="1"/>
        <v>1.412349030470914E-7</v>
      </c>
      <c r="J22" s="1869">
        <f t="shared" si="2"/>
        <v>1.3669297783933518E-7</v>
      </c>
      <c r="K22" s="1869">
        <f t="shared" si="3"/>
        <v>1.3850415512465372E-7</v>
      </c>
      <c r="L22" s="1869">
        <f t="shared" si="4"/>
        <v>1.3850415512465373E-5</v>
      </c>
      <c r="M22" s="1869">
        <f t="shared" si="5"/>
        <v>1.4123493254541942E-3</v>
      </c>
      <c r="N22" s="1869">
        <f t="shared" si="6"/>
        <v>1.3850415512465374E-8</v>
      </c>
      <c r="O22" s="1869">
        <f t="shared" si="7"/>
        <v>1.3850415512465374E-2</v>
      </c>
      <c r="P22" s="1869">
        <f t="shared" si="8"/>
        <v>2.0088324099722992E-6</v>
      </c>
      <c r="Q22" s="1816">
        <f t="shared" si="9"/>
        <v>1.0388664819944598E-4</v>
      </c>
      <c r="R22" s="1922">
        <v>1.4123490304709101E-7</v>
      </c>
      <c r="S22" s="1923">
        <v>1.3669297783933499E-7</v>
      </c>
      <c r="T22" s="1923">
        <v>1.3850415512465399E-7</v>
      </c>
      <c r="U22" s="1923">
        <v>1.38504155124654E-5</v>
      </c>
      <c r="V22" s="1869">
        <v>1.4123499999999999E-3</v>
      </c>
      <c r="W22" s="1923">
        <v>1.38504155124654E-8</v>
      </c>
      <c r="X22" s="1869">
        <v>1.3850400000000001E-2</v>
      </c>
      <c r="Y22" s="1923">
        <v>2.0088324099723001E-6</v>
      </c>
      <c r="Z22" s="1868">
        <v>1.03887E-4</v>
      </c>
      <c r="AA22" s="1924">
        <f t="shared" si="10"/>
        <v>2.8112505156963046E-15</v>
      </c>
      <c r="AB22" s="1870">
        <f t="shared" si="0"/>
        <v>1.3555082356144196E-15</v>
      </c>
      <c r="AC22" s="1870">
        <f t="shared" si="0"/>
        <v>-1.9111180872425155E-15</v>
      </c>
      <c r="AD22" s="1870">
        <f t="shared" si="0"/>
        <v>-1.9569849213363355E-15</v>
      </c>
      <c r="AE22" s="1870">
        <f t="shared" si="0"/>
        <v>-4.7760549996868131E-7</v>
      </c>
      <c r="AF22" s="1870">
        <f t="shared" si="0"/>
        <v>-1.9111180872425151E-15</v>
      </c>
      <c r="AG22" s="1870">
        <f t="shared" si="0"/>
        <v>1.1199999999305516E-6</v>
      </c>
      <c r="AH22" s="1870">
        <f t="shared" si="0"/>
        <v>-4.2165436153331502E-16</v>
      </c>
      <c r="AI22" s="1925">
        <f t="shared" si="0"/>
        <v>-3.3863885313231582E-6</v>
      </c>
    </row>
    <row r="23" spans="3:35" ht="18" thickTop="1" x14ac:dyDescent="0.25">
      <c r="C23" s="1984">
        <v>8740</v>
      </c>
      <c r="D23" s="1985" t="s">
        <v>84</v>
      </c>
      <c r="E23" s="1986">
        <f>C23*9.80665</f>
        <v>85710.120999999999</v>
      </c>
      <c r="F23" s="1984">
        <v>455</v>
      </c>
      <c r="G23" s="1985" t="s">
        <v>109</v>
      </c>
      <c r="H23" s="1986">
        <f>F23/1000000</f>
        <v>4.55E-4</v>
      </c>
      <c r="I23" s="1984">
        <f t="shared" si="1"/>
        <v>1920.8787196843077</v>
      </c>
      <c r="J23" s="1969">
        <f t="shared" si="2"/>
        <v>1859.1058343015234</v>
      </c>
      <c r="K23" s="1969">
        <f t="shared" si="3"/>
        <v>1883.7389230769231</v>
      </c>
      <c r="L23" s="1969">
        <f t="shared" si="4"/>
        <v>188373.89230769232</v>
      </c>
      <c r="M23" s="1969">
        <f t="shared" si="5"/>
        <v>19208791.208791211</v>
      </c>
      <c r="N23" s="1969">
        <f t="shared" si="6"/>
        <v>188.37389230769233</v>
      </c>
      <c r="O23" s="1969">
        <f t="shared" si="7"/>
        <v>188373892.30769232</v>
      </c>
      <c r="P23" s="1969">
        <f t="shared" si="8"/>
        <v>27321.316080355387</v>
      </c>
      <c r="Q23" s="1987">
        <f t="shared" si="9"/>
        <v>1412920.230625354</v>
      </c>
      <c r="R23" s="1986">
        <v>1920.88</v>
      </c>
      <c r="S23" s="1969">
        <v>1859.11</v>
      </c>
      <c r="T23" s="1969">
        <v>1883.74</v>
      </c>
      <c r="U23" s="1969">
        <v>188374</v>
      </c>
      <c r="V23" s="1969">
        <v>19208791</v>
      </c>
      <c r="W23" s="1969">
        <v>188.374</v>
      </c>
      <c r="X23" s="1969">
        <v>188373892</v>
      </c>
      <c r="Y23" s="1969">
        <v>27321.3</v>
      </c>
      <c r="Z23" s="1986">
        <v>1412920</v>
      </c>
      <c r="AA23" s="1988">
        <f t="shared" si="10"/>
        <v>-6.6652604314037847E-7</v>
      </c>
      <c r="AB23" s="1970">
        <f t="shared" si="0"/>
        <v>-2.2407000180771798E-6</v>
      </c>
      <c r="AC23" s="1970">
        <f t="shared" si="0"/>
        <v>-5.7169444432408977E-7</v>
      </c>
      <c r="AD23" s="1970">
        <f t="shared" si="0"/>
        <v>-5.7169444426132399E-7</v>
      </c>
      <c r="AE23" s="1970">
        <f t="shared" si="0"/>
        <v>1.086956534526168E-8</v>
      </c>
      <c r="AF23" s="1970">
        <f t="shared" si="0"/>
        <v>-5.716944442033863E-7</v>
      </c>
      <c r="AG23" s="1970">
        <f t="shared" si="0"/>
        <v>1.6334127589833457E-9</v>
      </c>
      <c r="AH23" s="1970">
        <f t="shared" si="0"/>
        <v>5.8856445058569074E-7</v>
      </c>
      <c r="AI23" s="1989">
        <f t="shared" si="0"/>
        <v>1.6322602577806061E-7</v>
      </c>
    </row>
    <row r="24" spans="3:35" ht="18" thickBot="1" x14ac:dyDescent="0.3">
      <c r="C24" s="1990">
        <v>1255</v>
      </c>
      <c r="D24" s="1945" t="s">
        <v>85</v>
      </c>
      <c r="E24" s="1948">
        <f>C24</f>
        <v>1255</v>
      </c>
      <c r="F24" s="1990">
        <v>841</v>
      </c>
      <c r="G24" s="1945" t="s">
        <v>109</v>
      </c>
      <c r="H24" s="1948">
        <f>F24/1000000</f>
        <v>8.4099999999999995E-4</v>
      </c>
      <c r="I24" s="1990">
        <f t="shared" si="1"/>
        <v>15.216927229488705</v>
      </c>
      <c r="J24" s="1975">
        <f t="shared" si="2"/>
        <v>14.727571242568372</v>
      </c>
      <c r="K24" s="1975">
        <f t="shared" si="3"/>
        <v>14.922711058263973</v>
      </c>
      <c r="L24" s="1975">
        <f t="shared" si="4"/>
        <v>1492.2711058263972</v>
      </c>
      <c r="M24" s="1975">
        <f t="shared" si="5"/>
        <v>152169.30407696791</v>
      </c>
      <c r="N24" s="1975">
        <f t="shared" si="6"/>
        <v>1.4922711058263971</v>
      </c>
      <c r="O24" s="1975">
        <f t="shared" si="7"/>
        <v>1492271.1058263972</v>
      </c>
      <c r="P24" s="1975">
        <f t="shared" si="8"/>
        <v>216.43556896551726</v>
      </c>
      <c r="Q24" s="1982">
        <f t="shared" si="9"/>
        <v>11192.952532699168</v>
      </c>
      <c r="R24" s="1948">
        <v>15.216900000000001</v>
      </c>
      <c r="S24" s="1975">
        <v>14.727600000000001</v>
      </c>
      <c r="T24" s="1975">
        <v>14.922700000000001</v>
      </c>
      <c r="U24" s="1975">
        <v>1492.27</v>
      </c>
      <c r="V24" s="1975">
        <v>152169</v>
      </c>
      <c r="W24" s="1975">
        <v>1.49227</v>
      </c>
      <c r="X24" s="1975">
        <v>1492271</v>
      </c>
      <c r="Y24" s="1975">
        <v>216.43600000000001</v>
      </c>
      <c r="Z24" s="1948">
        <v>11193</v>
      </c>
      <c r="AA24" s="1991">
        <f t="shared" si="10"/>
        <v>1.7894209713993774E-6</v>
      </c>
      <c r="AB24" s="1976">
        <f t="shared" si="0"/>
        <v>-1.9526255317488857E-6</v>
      </c>
      <c r="AC24" s="1976">
        <f t="shared" si="0"/>
        <v>7.4103585661472392E-7</v>
      </c>
      <c r="AD24" s="1976">
        <f t="shared" si="0"/>
        <v>7.4103585659567796E-7</v>
      </c>
      <c r="AE24" s="1976">
        <f t="shared" si="0"/>
        <v>1.9982805977257817E-6</v>
      </c>
      <c r="AF24" s="1976">
        <f t="shared" si="0"/>
        <v>7.4103585655520535E-7</v>
      </c>
      <c r="AG24" s="1976">
        <f t="shared" si="0"/>
        <v>7.0916334693078917E-8</v>
      </c>
      <c r="AH24" s="1976">
        <f t="shared" si="0"/>
        <v>-1.9915140787842533E-6</v>
      </c>
      <c r="AI24" s="1992">
        <f t="shared" si="0"/>
        <v>-4.240820345962922E-6</v>
      </c>
    </row>
    <row r="25" spans="3:35" ht="15.75" thickTop="1" x14ac:dyDescent="0.25">
      <c r="C25" s="2044">
        <v>189</v>
      </c>
      <c r="D25" s="2045" t="s">
        <v>84</v>
      </c>
      <c r="E25" s="2046">
        <f>C25*9.80665</f>
        <v>1853.4568499999998</v>
      </c>
      <c r="F25" s="2044">
        <v>875</v>
      </c>
      <c r="G25" s="2045" t="s">
        <v>110</v>
      </c>
      <c r="H25" s="2046">
        <f>F25*144/10000*(2.54*2.54)</f>
        <v>81.29016</v>
      </c>
      <c r="I25" s="2044">
        <f t="shared" si="1"/>
        <v>2.3250041644088288E-4</v>
      </c>
      <c r="J25" s="2047">
        <f t="shared" si="2"/>
        <v>2.2502351463075051E-4</v>
      </c>
      <c r="K25" s="2047">
        <f t="shared" si="3"/>
        <v>2.28005068510137E-4</v>
      </c>
      <c r="L25" s="2047">
        <f t="shared" si="4"/>
        <v>2.2800506851013702E-2</v>
      </c>
      <c r="M25" s="2047">
        <f t="shared" si="5"/>
        <v>2.3250046500093</v>
      </c>
      <c r="N25" s="2047">
        <f t="shared" si="6"/>
        <v>2.28005068510137E-5</v>
      </c>
      <c r="O25" s="2047">
        <f t="shared" si="7"/>
        <v>22.800506851013701</v>
      </c>
      <c r="P25" s="2047">
        <f t="shared" si="8"/>
        <v>3.3069330725052702E-3</v>
      </c>
      <c r="Q25" s="2048">
        <f t="shared" si="9"/>
        <v>0.17101784649482299</v>
      </c>
      <c r="R25" s="2046">
        <v>2.3250000000000001E-4</v>
      </c>
      <c r="S25" s="2047">
        <v>2.2502399999999999E-4</v>
      </c>
      <c r="T25" s="2047">
        <v>2.2800500000000001E-4</v>
      </c>
      <c r="U25" s="2047">
        <v>2.2800500000000001E-2</v>
      </c>
      <c r="V25" s="2047">
        <v>2.3250000000000002</v>
      </c>
      <c r="W25" s="2049">
        <v>2.28005068510137E-5</v>
      </c>
      <c r="X25" s="2047">
        <v>22.8005</v>
      </c>
      <c r="Y25" s="2047">
        <v>3.30693E-3</v>
      </c>
      <c r="Z25" s="2046">
        <v>0.171018</v>
      </c>
      <c r="AA25" s="2050">
        <f t="shared" si="10"/>
        <v>1.7911403740160687E-6</v>
      </c>
      <c r="AB25" s="2051">
        <f t="shared" si="0"/>
        <v>-2.1569712404570426E-6</v>
      </c>
      <c r="AC25" s="2051">
        <f t="shared" si="0"/>
        <v>3.0047637728917095E-7</v>
      </c>
      <c r="AD25" s="2051">
        <f t="shared" si="0"/>
        <v>3.0047637737000875E-7</v>
      </c>
      <c r="AE25" s="2051">
        <f t="shared" si="0"/>
        <v>1.999999999920436E-6</v>
      </c>
      <c r="AF25" s="2051">
        <f t="shared" si="0"/>
        <v>0</v>
      </c>
      <c r="AG25" s="2051">
        <f t="shared" si="0"/>
        <v>3.0047637738948591E-7</v>
      </c>
      <c r="AH25" s="2051">
        <f t="shared" si="0"/>
        <v>9.2911020658940903E-7</v>
      </c>
      <c r="AI25" s="2052">
        <f t="shared" si="0"/>
        <v>-8.9759741547625659E-7</v>
      </c>
    </row>
    <row r="26" spans="3:35" ht="15.75" thickBot="1" x14ac:dyDescent="0.3">
      <c r="C26" s="2053">
        <v>1298</v>
      </c>
      <c r="D26" s="2054" t="s">
        <v>85</v>
      </c>
      <c r="E26" s="2055">
        <f>C26</f>
        <v>1298</v>
      </c>
      <c r="F26" s="2053">
        <v>721</v>
      </c>
      <c r="G26" s="2054" t="s">
        <v>110</v>
      </c>
      <c r="H26" s="2055">
        <f>F26*144/10000*(2.54*2.54)</f>
        <v>66.98309184</v>
      </c>
      <c r="I26" s="2053">
        <f t="shared" si="1"/>
        <v>1.976008171079372E-4</v>
      </c>
      <c r="J26" s="2020">
        <f t="shared" si="2"/>
        <v>1.9124623964207862E-4</v>
      </c>
      <c r="K26" s="2020">
        <f t="shared" si="3"/>
        <v>1.9378024578209737E-4</v>
      </c>
      <c r="L26" s="2020">
        <f t="shared" si="4"/>
        <v>1.9378024578209738E-2</v>
      </c>
      <c r="M26" s="2020">
        <f t="shared" si="5"/>
        <v>1.9760085837885248</v>
      </c>
      <c r="N26" s="2020">
        <f t="shared" si="6"/>
        <v>1.9378024578209737E-5</v>
      </c>
      <c r="O26" s="2020">
        <f t="shared" si="7"/>
        <v>19.378024578209736</v>
      </c>
      <c r="P26" s="2020">
        <f t="shared" si="8"/>
        <v>2.8105441153670105E-3</v>
      </c>
      <c r="Q26" s="2056">
        <f t="shared" si="9"/>
        <v>0.14534712119971319</v>
      </c>
      <c r="R26" s="2055">
        <v>1.9760099999999999E-4</v>
      </c>
      <c r="S26" s="2020">
        <v>1.91246E-4</v>
      </c>
      <c r="T26" s="2020">
        <v>1.9378E-4</v>
      </c>
      <c r="U26" s="2020">
        <v>1.9377999999999999E-2</v>
      </c>
      <c r="V26" s="2020">
        <v>1.97601</v>
      </c>
      <c r="W26" s="2057">
        <v>1.93780245782097E-5</v>
      </c>
      <c r="X26" s="2020">
        <v>19.378</v>
      </c>
      <c r="Y26" s="2020">
        <v>2.8105399999999998E-3</v>
      </c>
      <c r="Z26" s="2055">
        <v>0.145347</v>
      </c>
      <c r="AA26" s="2058">
        <f t="shared" si="10"/>
        <v>-9.2556329205623241E-7</v>
      </c>
      <c r="AB26" s="2021">
        <f t="shared" si="0"/>
        <v>1.2530551139899503E-6</v>
      </c>
      <c r="AC26" s="2021">
        <f t="shared" si="0"/>
        <v>1.2683547612062935E-6</v>
      </c>
      <c r="AD26" s="2021">
        <f t="shared" si="0"/>
        <v>1.2683547612958137E-6</v>
      </c>
      <c r="AE26" s="2021">
        <f t="shared" si="0"/>
        <v>-7.1670309877262626E-7</v>
      </c>
      <c r="AF26" s="2021">
        <f t="shared" si="0"/>
        <v>1.9232842609301924E-15</v>
      </c>
      <c r="AG26" s="2021">
        <f t="shared" si="0"/>
        <v>1.2683547611726341E-6</v>
      </c>
      <c r="AH26" s="2021">
        <f t="shared" si="0"/>
        <v>1.4642598876890672E-6</v>
      </c>
      <c r="AI26" s="2059">
        <f t="shared" si="0"/>
        <v>8.3386387141247984E-7</v>
      </c>
    </row>
    <row r="27" spans="3:35" ht="15.75" thickTop="1" x14ac:dyDescent="0.25">
      <c r="C27" s="2060">
        <v>677</v>
      </c>
      <c r="D27" s="2061" t="s">
        <v>84</v>
      </c>
      <c r="E27" s="2062">
        <f>C27*9.80665</f>
        <v>6639.1020499999995</v>
      </c>
      <c r="F27" s="2060">
        <v>94</v>
      </c>
      <c r="G27" s="2061" t="s">
        <v>111</v>
      </c>
      <c r="H27" s="2062">
        <f>F27/10000*(2.54*2.54)</f>
        <v>6.0645040000000004E-2</v>
      </c>
      <c r="I27" s="2060">
        <f t="shared" si="1"/>
        <v>1.1163317867409766</v>
      </c>
      <c r="J27" s="2063">
        <f t="shared" si="2"/>
        <v>1.0804320525178588</v>
      </c>
      <c r="K27" s="2063">
        <f t="shared" si="3"/>
        <v>1.0947477402933528</v>
      </c>
      <c r="L27" s="2063">
        <f t="shared" si="4"/>
        <v>109.47477402933528</v>
      </c>
      <c r="M27" s="2063">
        <f t="shared" si="5"/>
        <v>11163.320198980824</v>
      </c>
      <c r="N27" s="2063">
        <f t="shared" si="6"/>
        <v>0.10947477402933528</v>
      </c>
      <c r="O27" s="2063">
        <f t="shared" si="7"/>
        <v>109474.77402933528</v>
      </c>
      <c r="P27" s="2063">
        <f t="shared" si="8"/>
        <v>15.877969433234522</v>
      </c>
      <c r="Q27" s="2064">
        <f t="shared" si="9"/>
        <v>821.1282416808167</v>
      </c>
      <c r="R27" s="2062">
        <v>1.11633</v>
      </c>
      <c r="S27" s="2063">
        <v>1.08043</v>
      </c>
      <c r="T27" s="2063">
        <v>1.0947499999999999</v>
      </c>
      <c r="U27" s="2063">
        <v>109.47499999999999</v>
      </c>
      <c r="V27" s="2063">
        <v>11163.3</v>
      </c>
      <c r="W27" s="2063">
        <v>0.109475</v>
      </c>
      <c r="X27" s="2063">
        <v>109475</v>
      </c>
      <c r="Y27" s="2063">
        <v>15.878</v>
      </c>
      <c r="Z27" s="2062">
        <v>821.12800000000004</v>
      </c>
      <c r="AA27" s="2065">
        <f t="shared" si="10"/>
        <v>1.6005465379806256E-6</v>
      </c>
      <c r="AB27" s="2066">
        <f t="shared" ref="AB27:AF28" si="11" xml:space="preserve"> (J27-S27)/J27</f>
        <v>1.8997195186895768E-6</v>
      </c>
      <c r="AC27" s="2066">
        <f t="shared" si="11"/>
        <v>-2.0641345617471955E-6</v>
      </c>
      <c r="AD27" s="2066">
        <f t="shared" si="11"/>
        <v>-2.0641345617634212E-6</v>
      </c>
      <c r="AE27" s="2066">
        <f t="shared" si="11"/>
        <v>1.8094062039500018E-6</v>
      </c>
      <c r="AF27" s="2066">
        <f t="shared" si="11"/>
        <v>-2.0641345618232552E-6</v>
      </c>
      <c r="AG27" s="2066">
        <f t="shared" ref="AG27:AI28" si="12" xml:space="preserve"> (O27-X27)/O27</f>
        <v>-2.0641345617748443E-6</v>
      </c>
      <c r="AH27" s="2066">
        <f t="shared" si="12"/>
        <v>-1.9251054491815219E-6</v>
      </c>
      <c r="AI27" s="2067">
        <f t="shared" si="12"/>
        <v>2.9432773638682455E-7</v>
      </c>
    </row>
    <row r="28" spans="3:35" ht="15.75" thickBot="1" x14ac:dyDescent="0.3">
      <c r="C28" s="2068">
        <v>74</v>
      </c>
      <c r="D28" s="2069" t="s">
        <v>85</v>
      </c>
      <c r="E28" s="2070">
        <f>C28</f>
        <v>74</v>
      </c>
      <c r="F28" s="2068">
        <v>64</v>
      </c>
      <c r="G28" s="2069" t="s">
        <v>111</v>
      </c>
      <c r="H28" s="2070">
        <f>F28/10000*(2.54*2.54)</f>
        <v>4.1290239999999999E-2</v>
      </c>
      <c r="I28" s="2068">
        <f t="shared" si="1"/>
        <v>1.8275259238018475E-2</v>
      </c>
      <c r="J28" s="2071">
        <f t="shared" si="2"/>
        <v>1.7687551392290286E-2</v>
      </c>
      <c r="K28" s="2071">
        <f t="shared" si="3"/>
        <v>1.7921910843821689E-2</v>
      </c>
      <c r="L28" s="2071">
        <f t="shared" si="4"/>
        <v>1.7921910843821689</v>
      </c>
      <c r="M28" s="2071">
        <f t="shared" si="5"/>
        <v>182.75263054989918</v>
      </c>
      <c r="N28" s="2071">
        <f t="shared" si="6"/>
        <v>1.7921910843821688E-3</v>
      </c>
      <c r="O28" s="2071">
        <f t="shared" si="7"/>
        <v>1792.1910843821688</v>
      </c>
      <c r="P28" s="2071">
        <f t="shared" si="8"/>
        <v>0.25993527283929568</v>
      </c>
      <c r="Q28" s="2072">
        <f t="shared" si="9"/>
        <v>13.442537122574246</v>
      </c>
      <c r="R28" s="2070">
        <v>1.8275300000000001E-2</v>
      </c>
      <c r="S28" s="2071">
        <v>1.7687600000000001E-2</v>
      </c>
      <c r="T28" s="2071">
        <v>1.7921900000000001E-2</v>
      </c>
      <c r="U28" s="2071">
        <v>1.7921899999999999</v>
      </c>
      <c r="V28" s="2071">
        <v>182.75299999999999</v>
      </c>
      <c r="W28" s="2071">
        <v>1.7921899999999999E-3</v>
      </c>
      <c r="X28" s="2071">
        <v>1792.19</v>
      </c>
      <c r="Y28" s="2071">
        <v>0.25993500000000003</v>
      </c>
      <c r="Z28" s="2070">
        <v>13.442500000000001</v>
      </c>
      <c r="AA28" s="2073">
        <f t="shared" si="10"/>
        <v>-2.2304461455436578E-6</v>
      </c>
      <c r="AB28" s="2074">
        <f t="shared" si="11"/>
        <v>-2.7481310802631127E-6</v>
      </c>
      <c r="AC28" s="2074">
        <f t="shared" si="11"/>
        <v>6.0505945946884072E-7</v>
      </c>
      <c r="AD28" s="2074">
        <f t="shared" si="11"/>
        <v>6.0505945956176235E-7</v>
      </c>
      <c r="AE28" s="2074">
        <f t="shared" si="11"/>
        <v>-2.021585679472362E-6</v>
      </c>
      <c r="AF28" s="2074">
        <f t="shared" si="11"/>
        <v>6.0505945954143578E-7</v>
      </c>
      <c r="AG28" s="2074">
        <f t="shared" si="12"/>
        <v>6.0505945945471666E-7</v>
      </c>
      <c r="AH28" s="2074">
        <f t="shared" si="12"/>
        <v>1.0496432156979313E-6</v>
      </c>
      <c r="AI28" s="2075">
        <f t="shared" si="12"/>
        <v>2.7615749844185616E-6</v>
      </c>
    </row>
    <row r="29" spans="3:35" ht="15.75" thickTop="1" x14ac:dyDescent="0.25"/>
    <row r="30" spans="3:35" ht="15.75" thickBot="1" x14ac:dyDescent="0.3"/>
    <row r="31" spans="3:35" ht="15.75" thickTop="1" x14ac:dyDescent="0.25">
      <c r="C31" s="2488" t="s">
        <v>0</v>
      </c>
      <c r="D31" s="2489"/>
      <c r="E31" s="2489"/>
      <c r="F31" s="2489"/>
      <c r="G31" s="2489"/>
      <c r="H31" s="2489"/>
      <c r="I31" s="2483" t="s">
        <v>158</v>
      </c>
      <c r="J31" s="2484"/>
      <c r="K31" s="2484"/>
      <c r="L31" s="2484"/>
      <c r="M31" s="2484"/>
      <c r="N31" s="2484"/>
      <c r="O31" s="2484"/>
      <c r="P31" s="2484"/>
      <c r="Q31" s="2485"/>
      <c r="R31" s="2489" t="s">
        <v>17</v>
      </c>
      <c r="S31" s="2489"/>
      <c r="T31" s="2489"/>
      <c r="U31" s="2489"/>
      <c r="V31" s="2489"/>
      <c r="W31" s="2489"/>
      <c r="X31" s="2489"/>
      <c r="Y31" s="2489"/>
      <c r="Z31" s="2495"/>
      <c r="AA31" s="2483" t="s">
        <v>8</v>
      </c>
      <c r="AB31" s="2484"/>
      <c r="AC31" s="2484"/>
      <c r="AD31" s="2484"/>
      <c r="AE31" s="2484"/>
      <c r="AF31" s="2484"/>
      <c r="AG31" s="2484"/>
      <c r="AH31" s="2484"/>
      <c r="AI31" s="2485"/>
    </row>
    <row r="32" spans="3:35" ht="15.75" thickBot="1" x14ac:dyDescent="0.3">
      <c r="C32" s="2486" t="s">
        <v>137</v>
      </c>
      <c r="D32" s="2487"/>
      <c r="E32" s="2487"/>
      <c r="F32" s="2486" t="s">
        <v>139</v>
      </c>
      <c r="G32" s="2487"/>
      <c r="H32" s="2487"/>
      <c r="I32" s="2480" t="s">
        <v>154</v>
      </c>
      <c r="J32" s="2481"/>
      <c r="K32" s="2481"/>
      <c r="L32" s="2481"/>
      <c r="M32" s="2481"/>
      <c r="N32" s="2481"/>
      <c r="O32" s="2481"/>
      <c r="P32" s="2481"/>
      <c r="Q32" s="2482"/>
      <c r="R32" s="2486" t="s">
        <v>154</v>
      </c>
      <c r="S32" s="2487"/>
      <c r="T32" s="2487"/>
      <c r="U32" s="2487"/>
      <c r="V32" s="2487"/>
      <c r="W32" s="2487"/>
      <c r="X32" s="2487"/>
      <c r="Y32" s="2487"/>
      <c r="Z32" s="2496"/>
      <c r="AA32" s="2480" t="s">
        <v>154</v>
      </c>
      <c r="AB32" s="2481"/>
      <c r="AC32" s="2481"/>
      <c r="AD32" s="2481"/>
      <c r="AE32" s="2481"/>
      <c r="AF32" s="2481"/>
      <c r="AG32" s="2481"/>
      <c r="AH32" s="2481"/>
      <c r="AI32" s="2482"/>
    </row>
    <row r="33" spans="3:35" ht="18" thickBot="1" x14ac:dyDescent="0.3">
      <c r="C33" s="82" t="s">
        <v>3</v>
      </c>
      <c r="D33" s="66" t="s">
        <v>4</v>
      </c>
      <c r="E33" s="84" t="s">
        <v>61</v>
      </c>
      <c r="F33" s="82" t="s">
        <v>3</v>
      </c>
      <c r="G33" s="66" t="s">
        <v>4</v>
      </c>
      <c r="H33" s="84" t="s">
        <v>85</v>
      </c>
      <c r="I33" s="86" t="s">
        <v>104</v>
      </c>
      <c r="J33" s="87" t="s">
        <v>105</v>
      </c>
      <c r="K33" s="87" t="s">
        <v>112</v>
      </c>
      <c r="L33" s="87" t="s">
        <v>107</v>
      </c>
      <c r="M33" s="87" t="s">
        <v>108</v>
      </c>
      <c r="N33" s="87" t="s">
        <v>106</v>
      </c>
      <c r="O33" s="87" t="s">
        <v>109</v>
      </c>
      <c r="P33" s="87" t="s">
        <v>110</v>
      </c>
      <c r="Q33" s="88" t="s">
        <v>111</v>
      </c>
      <c r="R33" s="84" t="s">
        <v>104</v>
      </c>
      <c r="S33" s="83" t="s">
        <v>105</v>
      </c>
      <c r="T33" s="83" t="s">
        <v>112</v>
      </c>
      <c r="U33" s="83" t="s">
        <v>107</v>
      </c>
      <c r="V33" s="83" t="s">
        <v>108</v>
      </c>
      <c r="W33" s="83" t="s">
        <v>106</v>
      </c>
      <c r="X33" s="83" t="s">
        <v>109</v>
      </c>
      <c r="Y33" s="83" t="s">
        <v>110</v>
      </c>
      <c r="Z33" s="85" t="s">
        <v>111</v>
      </c>
      <c r="AA33" s="86" t="s">
        <v>104</v>
      </c>
      <c r="AB33" s="87" t="s">
        <v>105</v>
      </c>
      <c r="AC33" s="87" t="s">
        <v>112</v>
      </c>
      <c r="AD33" s="87" t="s">
        <v>107</v>
      </c>
      <c r="AE33" s="87" t="s">
        <v>108</v>
      </c>
      <c r="AF33" s="87" t="s">
        <v>106</v>
      </c>
      <c r="AG33" s="87" t="s">
        <v>109</v>
      </c>
      <c r="AH33" s="87" t="s">
        <v>110</v>
      </c>
      <c r="AI33" s="88" t="s">
        <v>111</v>
      </c>
    </row>
    <row r="34" spans="3:35" ht="15.75" thickTop="1" x14ac:dyDescent="0.25">
      <c r="C34" s="1051">
        <v>82</v>
      </c>
      <c r="D34" s="1052" t="s">
        <v>55</v>
      </c>
      <c r="E34" s="1053">
        <f>C34/0.00001019716</f>
        <v>8041454.6795382239</v>
      </c>
      <c r="F34" s="1051">
        <v>540</v>
      </c>
      <c r="G34" s="1052" t="s">
        <v>84</v>
      </c>
      <c r="H34" s="1053">
        <f>F34*9.80665</f>
        <v>5295.5909999999994</v>
      </c>
      <c r="I34" s="1051">
        <f>N34/100</f>
        <v>6.5853644782390248E-6</v>
      </c>
      <c r="J34" s="1054">
        <f>N34/4046.8564224</f>
        <v>1.6272790014955744E-7</v>
      </c>
      <c r="K34" s="1054">
        <f>N34*10000</f>
        <v>6.5853644782390246</v>
      </c>
      <c r="L34" s="1054">
        <f>N34*100</f>
        <v>6.5853644782390253E-2</v>
      </c>
      <c r="M34" s="1054">
        <f>N34/10000</f>
        <v>6.5853644782390246E-8</v>
      </c>
      <c r="N34" s="1054">
        <f>H34/E34</f>
        <v>6.5853644782390246E-4</v>
      </c>
      <c r="O34" s="1054">
        <f>N34*1000000</f>
        <v>658.53644782390245</v>
      </c>
      <c r="P34" s="1054">
        <f>N34/144*10000/(2.54*2.54)</f>
        <v>7.0884273305147219E-3</v>
      </c>
      <c r="Q34" s="1055">
        <f>N34*10000/(2.54*2.54)</f>
        <v>1.0207335355941201</v>
      </c>
      <c r="R34" s="1227">
        <v>6.5853644782390198E-6</v>
      </c>
      <c r="S34" s="1228">
        <v>1.6272790014955699E-7</v>
      </c>
      <c r="T34" s="1054">
        <v>6.5853599999999997</v>
      </c>
      <c r="U34" s="1054">
        <v>6.5853599999999998E-2</v>
      </c>
      <c r="V34" s="1228">
        <v>6.5853644782390206E-8</v>
      </c>
      <c r="W34" s="1054">
        <v>6.5853600000000004E-4</v>
      </c>
      <c r="X34" s="1054">
        <v>658.53599999999994</v>
      </c>
      <c r="Y34" s="1054">
        <v>7.0884299999999997E-3</v>
      </c>
      <c r="Z34" s="1055">
        <v>1.0207299999999999</v>
      </c>
      <c r="AA34" s="980">
        <f t="shared" ref="AA34:AA51" si="13" xml:space="preserve"> (I34-R34)/I34</f>
        <v>7.7174129090647076E-16</v>
      </c>
      <c r="AB34" s="981">
        <f t="shared" ref="AB34:AI49" si="14" xml:space="preserve"> (J34-S34)/J34</f>
        <v>2.7652679891726045E-15</v>
      </c>
      <c r="AC34" s="981">
        <f t="shared" si="14"/>
        <v>6.8002903100337544E-7</v>
      </c>
      <c r="AD34" s="981">
        <f t="shared" si="14"/>
        <v>6.8002903107924069E-7</v>
      </c>
      <c r="AE34" s="981">
        <f t="shared" si="14"/>
        <v>6.0292288352068032E-16</v>
      </c>
      <c r="AF34" s="981">
        <f t="shared" si="14"/>
        <v>6.8002903088826049E-7</v>
      </c>
      <c r="AG34" s="981">
        <f t="shared" si="14"/>
        <v>6.8002903101956002E-7</v>
      </c>
      <c r="AH34" s="981">
        <f t="shared" si="14"/>
        <v>-3.7659767862783222E-7</v>
      </c>
      <c r="AI34" s="982">
        <f xml:space="preserve"> (Q34-Z34)/Q34</f>
        <v>3.463777760650362E-6</v>
      </c>
    </row>
    <row r="35" spans="3:35" x14ac:dyDescent="0.25">
      <c r="C35" s="1059">
        <v>61</v>
      </c>
      <c r="D35" s="59" t="s">
        <v>56</v>
      </c>
      <c r="E35" s="32">
        <f>C35/0.000009869233</f>
        <v>6180824.7915516831</v>
      </c>
      <c r="F35" s="1059">
        <v>56</v>
      </c>
      <c r="G35" s="59" t="s">
        <v>84</v>
      </c>
      <c r="H35" s="32">
        <f t="shared" ref="H35:H42" si="15">F35*9.80665</f>
        <v>549.17239999999993</v>
      </c>
      <c r="I35" s="1059">
        <f t="shared" ref="I35:I51" si="16">N35/100</f>
        <v>8.885098971752787E-7</v>
      </c>
      <c r="J35" s="1060">
        <f t="shared" ref="J35:J51" si="17">N35/4046.8564224</f>
        <v>2.1955557707884908E-8</v>
      </c>
      <c r="K35" s="1060">
        <f t="shared" ref="K35:K51" si="18">N35*10000</f>
        <v>0.88850989717527873</v>
      </c>
      <c r="L35" s="1060">
        <f t="shared" ref="L35:L51" si="19">N35*100</f>
        <v>8.8850989717527869E-3</v>
      </c>
      <c r="M35" s="1060">
        <f t="shared" ref="M35:M51" si="20">N35/10000</f>
        <v>8.8850989717527862E-9</v>
      </c>
      <c r="N35" s="1060">
        <f t="shared" ref="N35:N51" si="21">H35/E35</f>
        <v>8.8850989717527868E-5</v>
      </c>
      <c r="O35" s="1060">
        <f t="shared" ref="O35:O51" si="22">N35*1000000</f>
        <v>88.850989717527867</v>
      </c>
      <c r="P35" s="1060">
        <f t="shared" ref="P35:P51" si="23">N35/144*10000/(2.54*2.54)</f>
        <v>9.5638409375546662E-4</v>
      </c>
      <c r="Q35" s="889">
        <f t="shared" ref="Q35:Q51" si="24">N35*10000/(2.54*2.54)</f>
        <v>0.1377193095007872</v>
      </c>
      <c r="R35" s="1231">
        <v>8.8850989717527902E-7</v>
      </c>
      <c r="S35" s="1110">
        <v>2.1955557707884899E-8</v>
      </c>
      <c r="T35" s="1060">
        <v>0.88851000000000002</v>
      </c>
      <c r="U35" s="1060">
        <v>8.8850999999999999E-3</v>
      </c>
      <c r="V35" s="1110">
        <v>8.8850989717527895E-9</v>
      </c>
      <c r="W35" s="1110">
        <v>8.8850989717527895E-5</v>
      </c>
      <c r="X35" s="1060">
        <v>88.850999999999999</v>
      </c>
      <c r="Y35" s="1060">
        <v>9.5638400000000001E-4</v>
      </c>
      <c r="Z35" s="32">
        <v>0.13771900000000001</v>
      </c>
      <c r="AA35" s="897">
        <f t="shared" si="13"/>
        <v>-3.5749444798553714E-16</v>
      </c>
      <c r="AB35" s="898">
        <f t="shared" si="14"/>
        <v>4.5210271962581684E-16</v>
      </c>
      <c r="AC35" s="898">
        <f t="shared" si="14"/>
        <v>-1.1572715354097813E-7</v>
      </c>
      <c r="AD35" s="898">
        <f t="shared" si="14"/>
        <v>-1.1572715355659731E-7</v>
      </c>
      <c r="AE35" s="898">
        <f t="shared" si="14"/>
        <v>-3.7239004998493454E-16</v>
      </c>
      <c r="AF35" s="898">
        <f t="shared" si="14"/>
        <v>-3.0506192894765839E-16</v>
      </c>
      <c r="AG35" s="898">
        <f t="shared" si="14"/>
        <v>-1.1572715357596509E-7</v>
      </c>
      <c r="AH35" s="898">
        <f t="shared" si="14"/>
        <v>9.8031185606898983E-8</v>
      </c>
      <c r="AI35" s="899">
        <f xml:space="preserve"> (Q35-Z35)/Q35</f>
        <v>2.2473303730267036E-6</v>
      </c>
    </row>
    <row r="36" spans="3:35" x14ac:dyDescent="0.25">
      <c r="C36" s="1059">
        <v>76</v>
      </c>
      <c r="D36" s="59" t="s">
        <v>57</v>
      </c>
      <c r="E36" s="32">
        <f>C36*100000</f>
        <v>7600000</v>
      </c>
      <c r="F36" s="1059">
        <v>984</v>
      </c>
      <c r="G36" s="59" t="s">
        <v>84</v>
      </c>
      <c r="H36" s="32">
        <f t="shared" si="15"/>
        <v>9649.7435999999998</v>
      </c>
      <c r="I36" s="1059">
        <f t="shared" si="16"/>
        <v>1.2697031052631578E-5</v>
      </c>
      <c r="J36" s="1060">
        <f t="shared" si="17"/>
        <v>3.1375047017609701E-7</v>
      </c>
      <c r="K36" s="1060">
        <f t="shared" si="18"/>
        <v>12.697031052631578</v>
      </c>
      <c r="L36" s="1060">
        <f t="shared" si="19"/>
        <v>0.12697031052631577</v>
      </c>
      <c r="M36" s="1060">
        <f t="shared" si="20"/>
        <v>1.269703105263158E-7</v>
      </c>
      <c r="N36" s="1060">
        <f t="shared" si="21"/>
        <v>1.2697031052631578E-3</v>
      </c>
      <c r="O36" s="1060">
        <f t="shared" si="22"/>
        <v>1269.7031052631578</v>
      </c>
      <c r="P36" s="1060">
        <f t="shared" si="23"/>
        <v>1.3666970480870785E-2</v>
      </c>
      <c r="Q36" s="889">
        <f t="shared" si="24"/>
        <v>1.968043749245393</v>
      </c>
      <c r="R36" s="1231">
        <v>1.26970310526316E-5</v>
      </c>
      <c r="S36" s="1110">
        <v>3.1375047017609701E-7</v>
      </c>
      <c r="T36" s="1060">
        <v>12.696999999999999</v>
      </c>
      <c r="U36" s="1060">
        <v>0.12697</v>
      </c>
      <c r="V36" s="1110">
        <v>1.2697031052631601E-7</v>
      </c>
      <c r="W36" s="1060">
        <v>1.2696999999999999E-3</v>
      </c>
      <c r="X36" s="1060">
        <v>1269.7</v>
      </c>
      <c r="Y36" s="1060">
        <v>1.3667E-2</v>
      </c>
      <c r="Z36" s="32">
        <v>1.96804</v>
      </c>
      <c r="AA36" s="897">
        <f t="shared" si="13"/>
        <v>-1.7344886798593255E-15</v>
      </c>
      <c r="AB36" s="898">
        <f t="shared" si="14"/>
        <v>0</v>
      </c>
      <c r="AC36" s="898">
        <f t="shared" si="14"/>
        <v>2.4456608360071104E-6</v>
      </c>
      <c r="AD36" s="898">
        <f t="shared" si="14"/>
        <v>2.4456608358672076E-6</v>
      </c>
      <c r="AE36" s="898">
        <f t="shared" si="14"/>
        <v>-1.6677775767878129E-15</v>
      </c>
      <c r="AF36" s="898">
        <f t="shared" si="14"/>
        <v>2.4456608360379877E-6</v>
      </c>
      <c r="AG36" s="898">
        <f t="shared" si="14"/>
        <v>2.4456608358895918E-6</v>
      </c>
      <c r="AH36" s="898">
        <f t="shared" si="14"/>
        <v>-2.1598882690918709E-6</v>
      </c>
      <c r="AI36" s="899">
        <f t="shared" si="14"/>
        <v>1.905062016265712E-6</v>
      </c>
    </row>
    <row r="37" spans="3:35" x14ac:dyDescent="0.25">
      <c r="C37" s="1059">
        <v>45</v>
      </c>
      <c r="D37" s="59" t="s">
        <v>58</v>
      </c>
      <c r="E37" s="32">
        <f>C37*1000</f>
        <v>45000</v>
      </c>
      <c r="F37" s="1059">
        <v>1231</v>
      </c>
      <c r="G37" s="59" t="s">
        <v>84</v>
      </c>
      <c r="H37" s="32">
        <f t="shared" si="15"/>
        <v>12071.986149999999</v>
      </c>
      <c r="I37" s="1059">
        <f t="shared" si="16"/>
        <v>2.6826635888888891E-3</v>
      </c>
      <c r="J37" s="1060">
        <f t="shared" si="17"/>
        <v>6.6290060948046364E-5</v>
      </c>
      <c r="K37" s="1060">
        <f t="shared" si="18"/>
        <v>2682.6635888888891</v>
      </c>
      <c r="L37" s="1060">
        <f t="shared" si="19"/>
        <v>26.826635888888887</v>
      </c>
      <c r="M37" s="1060">
        <f t="shared" si="20"/>
        <v>2.6826635888888888E-5</v>
      </c>
      <c r="N37" s="1060">
        <f t="shared" si="21"/>
        <v>0.26826635888888889</v>
      </c>
      <c r="O37" s="1060">
        <f t="shared" si="22"/>
        <v>268266.35888888891</v>
      </c>
      <c r="P37" s="1060">
        <f t="shared" si="23"/>
        <v>2.8875950548969</v>
      </c>
      <c r="Q37" s="889">
        <f t="shared" si="24"/>
        <v>415.81368790515364</v>
      </c>
      <c r="R37" s="32">
        <v>2.6826599999999999E-3</v>
      </c>
      <c r="S37" s="1110">
        <v>6.6290060948046405E-5</v>
      </c>
      <c r="T37" s="1060">
        <v>2682.66</v>
      </c>
      <c r="U37" s="1060">
        <v>26.826599999999999</v>
      </c>
      <c r="V37" s="1110">
        <v>2.6826635888888901E-5</v>
      </c>
      <c r="W37" s="1060">
        <v>0.268266</v>
      </c>
      <c r="X37" s="1060">
        <v>268266</v>
      </c>
      <c r="Y37" s="1060">
        <v>2.8875999999999999</v>
      </c>
      <c r="Z37" s="32">
        <v>415.81400000000002</v>
      </c>
      <c r="AA37" s="897">
        <f t="shared" si="13"/>
        <v>1.3378080293264151E-6</v>
      </c>
      <c r="AB37" s="898">
        <f t="shared" si="14"/>
        <v>-6.1332846714488709E-16</v>
      </c>
      <c r="AC37" s="898">
        <f t="shared" si="14"/>
        <v>1.3378080293371337E-6</v>
      </c>
      <c r="AD37" s="898">
        <f t="shared" si="14"/>
        <v>1.3378080291888097E-6</v>
      </c>
      <c r="AE37" s="898">
        <f t="shared" si="14"/>
        <v>-5.0518921612836364E-16</v>
      </c>
      <c r="AF37" s="898">
        <f t="shared" si="14"/>
        <v>1.3378080291970867E-6</v>
      </c>
      <c r="AG37" s="898">
        <f t="shared" si="14"/>
        <v>1.337808029276109E-6</v>
      </c>
      <c r="AH37" s="898">
        <f t="shared" si="14"/>
        <v>-1.7125334424956249E-6</v>
      </c>
      <c r="AI37" s="899">
        <f t="shared" si="14"/>
        <v>-7.5056414797491991E-7</v>
      </c>
    </row>
    <row r="38" spans="3:35" x14ac:dyDescent="0.25">
      <c r="C38" s="1059">
        <v>698</v>
      </c>
      <c r="D38" s="59" t="s">
        <v>59</v>
      </c>
      <c r="E38" s="32">
        <f>C38*9.80665</f>
        <v>6845.0416999999998</v>
      </c>
      <c r="F38" s="1059">
        <v>15681</v>
      </c>
      <c r="G38" s="59" t="s">
        <v>84</v>
      </c>
      <c r="H38" s="32">
        <f t="shared" si="15"/>
        <v>153778.07864999998</v>
      </c>
      <c r="I38" s="1059">
        <f t="shared" si="16"/>
        <v>0.22465616045845269</v>
      </c>
      <c r="J38" s="1060">
        <f t="shared" si="17"/>
        <v>5.5513746229034662E-3</v>
      </c>
      <c r="K38" s="1060">
        <f t="shared" si="18"/>
        <v>224656.16045845271</v>
      </c>
      <c r="L38" s="1060">
        <f t="shared" si="19"/>
        <v>2246.5616045845268</v>
      </c>
      <c r="M38" s="1060">
        <f t="shared" si="20"/>
        <v>2.2465616045845268E-3</v>
      </c>
      <c r="N38" s="1060">
        <f t="shared" si="21"/>
        <v>22.46561604584527</v>
      </c>
      <c r="O38" s="1060">
        <f t="shared" si="22"/>
        <v>22465616.04584527</v>
      </c>
      <c r="P38" s="1060">
        <f t="shared" si="23"/>
        <v>241.81787857367502</v>
      </c>
      <c r="Q38" s="889">
        <f t="shared" si="24"/>
        <v>34821.774514609198</v>
      </c>
      <c r="R38" s="32">
        <v>0.22465599999999999</v>
      </c>
      <c r="S38" s="1060">
        <v>5.5513699999999999E-3</v>
      </c>
      <c r="T38" s="1060">
        <v>224656</v>
      </c>
      <c r="U38" s="1060">
        <v>2246.56</v>
      </c>
      <c r="V38" s="1060">
        <v>2.2465599999999999E-3</v>
      </c>
      <c r="W38" s="1060">
        <v>22.465599999999998</v>
      </c>
      <c r="X38" s="1060">
        <v>22465616</v>
      </c>
      <c r="Y38" s="1060">
        <v>241.81800000000001</v>
      </c>
      <c r="Z38" s="32">
        <v>34821.800000000003</v>
      </c>
      <c r="AA38" s="897">
        <f t="shared" si="13"/>
        <v>7.1424016311896385E-7</v>
      </c>
      <c r="AB38" s="898">
        <f t="shared" si="14"/>
        <v>8.3274932432245589E-7</v>
      </c>
      <c r="AC38" s="898">
        <f t="shared" si="14"/>
        <v>7.1424016319476027E-7</v>
      </c>
      <c r="AD38" s="898">
        <f t="shared" si="14"/>
        <v>7.1424016308140567E-7</v>
      </c>
      <c r="AE38" s="898">
        <f t="shared" si="14"/>
        <v>7.1424016310352053E-7</v>
      </c>
      <c r="AF38" s="898">
        <f t="shared" si="14"/>
        <v>7.1424016320791766E-7</v>
      </c>
      <c r="AG38" s="898">
        <f t="shared" si="14"/>
        <v>2.040686089502489E-9</v>
      </c>
      <c r="AH38" s="898">
        <f t="shared" si="14"/>
        <v>-5.0213956764121049E-7</v>
      </c>
      <c r="AI38" s="899">
        <f t="shared" si="14"/>
        <v>-7.3188087510707387E-7</v>
      </c>
    </row>
    <row r="39" spans="3:35" x14ac:dyDescent="0.25">
      <c r="C39" s="1059">
        <v>47</v>
      </c>
      <c r="D39" s="59" t="s">
        <v>67</v>
      </c>
      <c r="E39" s="32">
        <f>C39*1000000</f>
        <v>47000000</v>
      </c>
      <c r="F39" s="1059">
        <v>1841</v>
      </c>
      <c r="G39" s="59" t="s">
        <v>84</v>
      </c>
      <c r="H39" s="32">
        <f t="shared" si="15"/>
        <v>18054.042649999999</v>
      </c>
      <c r="I39" s="1059">
        <f t="shared" si="16"/>
        <v>3.8412856702127661E-6</v>
      </c>
      <c r="J39" s="1060">
        <f t="shared" si="17"/>
        <v>9.4920236086228127E-8</v>
      </c>
      <c r="K39" s="1060">
        <f t="shared" si="18"/>
        <v>3.8412856702127658</v>
      </c>
      <c r="L39" s="1060">
        <f t="shared" si="19"/>
        <v>3.8412856702127657E-2</v>
      </c>
      <c r="M39" s="1060">
        <f t="shared" si="20"/>
        <v>3.8412856702127654E-8</v>
      </c>
      <c r="N39" s="1060">
        <f t="shared" si="21"/>
        <v>3.8412856702127658E-4</v>
      </c>
      <c r="O39" s="1060">
        <f t="shared" si="22"/>
        <v>384.12856702127658</v>
      </c>
      <c r="P39" s="1060">
        <f t="shared" si="23"/>
        <v>4.134725483916097E-3</v>
      </c>
      <c r="Q39" s="889">
        <f t="shared" si="24"/>
        <v>0.59540046968391802</v>
      </c>
      <c r="R39" s="1231">
        <v>3.8412856702127703E-6</v>
      </c>
      <c r="S39" s="1110">
        <v>9.4920236086228101E-8</v>
      </c>
      <c r="T39" s="1060">
        <v>3.8412899999999999</v>
      </c>
      <c r="U39" s="1060">
        <v>3.84129E-2</v>
      </c>
      <c r="V39" s="1110">
        <v>3.8412856702127701E-8</v>
      </c>
      <c r="W39" s="1060">
        <v>3.8412899999999998E-4</v>
      </c>
      <c r="X39" s="1060">
        <v>384.12900000000002</v>
      </c>
      <c r="Y39" s="1060">
        <v>4.1347299999999997E-3</v>
      </c>
      <c r="Z39" s="32">
        <v>0.59540000000000004</v>
      </c>
      <c r="AA39" s="897">
        <f t="shared" si="13"/>
        <v>-1.102538342595311E-15</v>
      </c>
      <c r="AB39" s="898">
        <f t="shared" si="14"/>
        <v>2.7886339829213043E-16</v>
      </c>
      <c r="AC39" s="898">
        <f t="shared" si="14"/>
        <v>-1.1271713706835597E-6</v>
      </c>
      <c r="AD39" s="898">
        <f t="shared" si="14"/>
        <v>-1.1271713707413646E-6</v>
      </c>
      <c r="AE39" s="898">
        <f t="shared" si="14"/>
        <v>-1.2059013122136217E-15</v>
      </c>
      <c r="AF39" s="898">
        <f t="shared" si="14"/>
        <v>-1.1271713706736247E-6</v>
      </c>
      <c r="AG39" s="898">
        <f t="shared" si="14"/>
        <v>-1.1271713707621741E-6</v>
      </c>
      <c r="AH39" s="898">
        <f t="shared" si="14"/>
        <v>-1.0922330684926782E-6</v>
      </c>
      <c r="AI39" s="899">
        <f t="shared" si="14"/>
        <v>7.8885379151630159E-7</v>
      </c>
    </row>
    <row r="40" spans="3:35" x14ac:dyDescent="0.25">
      <c r="C40" s="1059">
        <v>45</v>
      </c>
      <c r="D40" s="59" t="s">
        <v>61</v>
      </c>
      <c r="E40" s="32">
        <f>C40</f>
        <v>45</v>
      </c>
      <c r="F40" s="1059">
        <v>984</v>
      </c>
      <c r="G40" s="59" t="s">
        <v>84</v>
      </c>
      <c r="H40" s="32">
        <f t="shared" si="15"/>
        <v>9649.7435999999998</v>
      </c>
      <c r="I40" s="1059">
        <f t="shared" si="16"/>
        <v>2.1443874666666667</v>
      </c>
      <c r="J40" s="1060">
        <f t="shared" si="17"/>
        <v>5.29889682964075E-2</v>
      </c>
      <c r="K40" s="1060">
        <f t="shared" si="18"/>
        <v>2144387.4666666668</v>
      </c>
      <c r="L40" s="1060">
        <f t="shared" si="19"/>
        <v>21443.874666666667</v>
      </c>
      <c r="M40" s="1060">
        <f t="shared" si="20"/>
        <v>2.1443874666666668E-2</v>
      </c>
      <c r="N40" s="1060">
        <f t="shared" si="21"/>
        <v>214.43874666666667</v>
      </c>
      <c r="O40" s="1060">
        <f t="shared" si="22"/>
        <v>214438746.66666669</v>
      </c>
      <c r="P40" s="1060">
        <f t="shared" si="23"/>
        <v>2308.1994589915107</v>
      </c>
      <c r="Q40" s="889">
        <f t="shared" si="24"/>
        <v>332380.72209477756</v>
      </c>
      <c r="R40" s="32">
        <v>2.14439</v>
      </c>
      <c r="S40" s="1060">
        <v>5.2989000000000001E-2</v>
      </c>
      <c r="T40" s="1060">
        <v>2144387</v>
      </c>
      <c r="U40" s="1060">
        <v>21443.9</v>
      </c>
      <c r="V40" s="1060">
        <v>2.1443899999999998E-2</v>
      </c>
      <c r="W40" s="1060">
        <v>214.43899999999999</v>
      </c>
      <c r="X40" s="1060">
        <v>214438747</v>
      </c>
      <c r="Y40" s="1060">
        <v>2308.1999999999998</v>
      </c>
      <c r="Z40" s="32">
        <v>332381</v>
      </c>
      <c r="AA40" s="897">
        <f t="shared" si="13"/>
        <v>-1.1813785394251042E-6</v>
      </c>
      <c r="AB40" s="898">
        <f t="shared" si="14"/>
        <v>-5.98305525103302E-7</v>
      </c>
      <c r="AC40" s="898">
        <f t="shared" si="14"/>
        <v>2.1762236258368496E-7</v>
      </c>
      <c r="AD40" s="898">
        <f t="shared" si="14"/>
        <v>-1.1813785394966758E-6</v>
      </c>
      <c r="AE40" s="898">
        <f t="shared" si="14"/>
        <v>-1.1813785392891989E-6</v>
      </c>
      <c r="AF40" s="898">
        <f t="shared" si="14"/>
        <v>-1.1813785393588343E-6</v>
      </c>
      <c r="AG40" s="898">
        <f t="shared" si="14"/>
        <v>-1.5544453539605266E-9</v>
      </c>
      <c r="AH40" s="898">
        <f t="shared" si="14"/>
        <v>-2.3438550208506814E-7</v>
      </c>
      <c r="AI40" s="899">
        <f t="shared" si="14"/>
        <v>-8.3610511670019032E-7</v>
      </c>
    </row>
    <row r="41" spans="3:35" x14ac:dyDescent="0.25">
      <c r="C41" s="1059">
        <v>8</v>
      </c>
      <c r="D41" s="59" t="s">
        <v>66</v>
      </c>
      <c r="E41" s="32">
        <f>C41/0.0001450377</f>
        <v>55158.072694202951</v>
      </c>
      <c r="F41" s="1059">
        <v>948</v>
      </c>
      <c r="G41" s="59" t="s">
        <v>84</v>
      </c>
      <c r="H41" s="32">
        <f t="shared" si="15"/>
        <v>9296.7042000000001</v>
      </c>
      <c r="I41" s="1059">
        <f t="shared" si="16"/>
        <v>1.6854657434354251E-3</v>
      </c>
      <c r="J41" s="1060">
        <f t="shared" si="17"/>
        <v>4.164876554814501E-5</v>
      </c>
      <c r="K41" s="1060">
        <f t="shared" si="18"/>
        <v>1685.4657434354251</v>
      </c>
      <c r="L41" s="1060">
        <f t="shared" si="19"/>
        <v>16.854657434354252</v>
      </c>
      <c r="M41" s="1060">
        <f t="shared" si="20"/>
        <v>1.6854657434354249E-5</v>
      </c>
      <c r="N41" s="1060">
        <f t="shared" si="21"/>
        <v>0.1685465743435425</v>
      </c>
      <c r="O41" s="1060">
        <f t="shared" si="22"/>
        <v>168546.57434354251</v>
      </c>
      <c r="P41" s="1060">
        <f t="shared" si="23"/>
        <v>1.8142202272771966</v>
      </c>
      <c r="Q41" s="889">
        <f t="shared" si="24"/>
        <v>261.24771272791634</v>
      </c>
      <c r="R41" s="32">
        <v>1.6854699999999999E-3</v>
      </c>
      <c r="S41" s="1110">
        <v>4.1648765548145003E-5</v>
      </c>
      <c r="T41" s="1060">
        <v>1685.47</v>
      </c>
      <c r="U41" s="1060">
        <v>16.854700000000001</v>
      </c>
      <c r="V41" s="1110">
        <v>1.6854657434354201E-5</v>
      </c>
      <c r="W41" s="1060">
        <v>0.168547</v>
      </c>
      <c r="X41" s="1060">
        <v>168547</v>
      </c>
      <c r="Y41" s="1060">
        <v>1.8142199999999999</v>
      </c>
      <c r="Z41" s="32">
        <v>261.24799999999999</v>
      </c>
      <c r="AA41" s="897">
        <f t="shared" si="13"/>
        <v>-2.5254530335893786E-6</v>
      </c>
      <c r="AB41" s="898">
        <f t="shared" si="14"/>
        <v>1.6270022625763538E-16</v>
      </c>
      <c r="AC41" s="898">
        <f t="shared" si="14"/>
        <v>-2.5254530336762618E-6</v>
      </c>
      <c r="AD41" s="898">
        <f t="shared" si="14"/>
        <v>-2.5254530336931245E-6</v>
      </c>
      <c r="AE41" s="898">
        <f t="shared" si="14"/>
        <v>2.8142871031930971E-15</v>
      </c>
      <c r="AF41" s="898">
        <f t="shared" si="14"/>
        <v>-2.5254530337128858E-6</v>
      </c>
      <c r="AG41" s="898">
        <f t="shared" si="14"/>
        <v>-2.5254530336654697E-6</v>
      </c>
      <c r="AH41" s="898">
        <f t="shared" si="14"/>
        <v>1.2527541761531524E-7</v>
      </c>
      <c r="AI41" s="899">
        <f t="shared" si="14"/>
        <v>-1.0996156890863235E-6</v>
      </c>
    </row>
    <row r="42" spans="3:35" ht="15.75" thickBot="1" x14ac:dyDescent="0.3">
      <c r="C42" s="1072">
        <v>41</v>
      </c>
      <c r="D42" s="60" t="s">
        <v>63</v>
      </c>
      <c r="E42" s="55">
        <f>C42/0.007500616</f>
        <v>5466.2177079855846</v>
      </c>
      <c r="F42" s="1072">
        <v>21982</v>
      </c>
      <c r="G42" s="60" t="s">
        <v>84</v>
      </c>
      <c r="H42" s="55">
        <f t="shared" si="15"/>
        <v>215569.78029999998</v>
      </c>
      <c r="I42" s="1051">
        <f t="shared" si="16"/>
        <v>0.39436735200845474</v>
      </c>
      <c r="J42" s="1054">
        <f t="shared" si="17"/>
        <v>9.745029495624509E-3</v>
      </c>
      <c r="K42" s="1054">
        <f t="shared" si="18"/>
        <v>394367.35200845473</v>
      </c>
      <c r="L42" s="1054">
        <f t="shared" si="19"/>
        <v>3943.6735200845478</v>
      </c>
      <c r="M42" s="1054">
        <f t="shared" si="20"/>
        <v>3.9436735200845474E-3</v>
      </c>
      <c r="N42" s="1054">
        <f t="shared" si="21"/>
        <v>39.436735200845476</v>
      </c>
      <c r="O42" s="1054">
        <f t="shared" si="22"/>
        <v>39436735.200845473</v>
      </c>
      <c r="P42" s="1054">
        <f t="shared" si="23"/>
        <v>424.4934848294036</v>
      </c>
      <c r="Q42" s="1055">
        <f t="shared" si="24"/>
        <v>61127.061815434114</v>
      </c>
      <c r="R42" s="55">
        <v>0.39436700000000002</v>
      </c>
      <c r="S42" s="1073">
        <v>9.74503E-3</v>
      </c>
      <c r="T42" s="1073">
        <v>394367</v>
      </c>
      <c r="U42" s="1073">
        <v>3943.67</v>
      </c>
      <c r="V42" s="1073">
        <v>3.9436699999999998E-3</v>
      </c>
      <c r="W42" s="1073">
        <v>39.436700000000002</v>
      </c>
      <c r="X42" s="1073">
        <v>39436735</v>
      </c>
      <c r="Y42" s="1073">
        <v>424.49299999999999</v>
      </c>
      <c r="Z42" s="55">
        <v>61127.1</v>
      </c>
      <c r="AA42" s="945">
        <f t="shared" si="13"/>
        <v>8.9259025354264154E-7</v>
      </c>
      <c r="AB42" s="946">
        <f t="shared" si="14"/>
        <v>-5.1757205173367415E-8</v>
      </c>
      <c r="AC42" s="946">
        <f t="shared" si="14"/>
        <v>8.9259025358395515E-7</v>
      </c>
      <c r="AD42" s="946">
        <f t="shared" si="14"/>
        <v>8.9259025368542842E-7</v>
      </c>
      <c r="AE42" s="946">
        <f t="shared" si="14"/>
        <v>8.9259025365700899E-7</v>
      </c>
      <c r="AF42" s="946">
        <f t="shared" si="14"/>
        <v>8.9259025359894551E-7</v>
      </c>
      <c r="AG42" s="946">
        <f t="shared" si="14"/>
        <v>5.0928524253276299E-9</v>
      </c>
      <c r="AH42" s="946">
        <f t="shared" si="14"/>
        <v>1.1421362657628781E-6</v>
      </c>
      <c r="AI42" s="947">
        <f t="shared" si="14"/>
        <v>-6.2467530338968059E-7</v>
      </c>
    </row>
    <row r="43" spans="3:35" ht="15.75" thickTop="1" x14ac:dyDescent="0.25">
      <c r="C43" s="1455">
        <v>8</v>
      </c>
      <c r="D43" s="1256" t="s">
        <v>55</v>
      </c>
      <c r="E43" s="1257">
        <f>C43/0.00001019716</f>
        <v>784532.16385738773</v>
      </c>
      <c r="F43" s="1455">
        <v>600</v>
      </c>
      <c r="G43" s="1256" t="s">
        <v>85</v>
      </c>
      <c r="H43" s="1257">
        <f>F43</f>
        <v>600</v>
      </c>
      <c r="I43" s="1522">
        <f t="shared" si="16"/>
        <v>7.6478700000000014E-6</v>
      </c>
      <c r="J43" s="1526">
        <f t="shared" si="17"/>
        <v>1.8898298337612899E-7</v>
      </c>
      <c r="K43" s="1526">
        <f t="shared" si="18"/>
        <v>7.6478700000000011</v>
      </c>
      <c r="L43" s="1526">
        <f t="shared" si="19"/>
        <v>7.6478700000000011E-2</v>
      </c>
      <c r="M43" s="1526">
        <f t="shared" si="20"/>
        <v>7.6478700000000003E-8</v>
      </c>
      <c r="N43" s="1526">
        <f t="shared" si="21"/>
        <v>7.6478700000000006E-4</v>
      </c>
      <c r="O43" s="1526">
        <f t="shared" si="22"/>
        <v>764.78700000000003</v>
      </c>
      <c r="P43" s="1526">
        <f t="shared" si="23"/>
        <v>8.2320987558641787E-3</v>
      </c>
      <c r="Q43" s="1525">
        <f t="shared" si="24"/>
        <v>1.1854222208444418</v>
      </c>
      <c r="R43" s="1494">
        <v>7.6478699999999997E-6</v>
      </c>
      <c r="S43" s="1604">
        <v>1.8898298337612899E-7</v>
      </c>
      <c r="T43" s="1456">
        <v>7.6478700000000002</v>
      </c>
      <c r="U43" s="1456">
        <v>7.6478699999999997E-2</v>
      </c>
      <c r="V43" s="1604">
        <v>7.6478700000000003E-8</v>
      </c>
      <c r="W43" s="1456">
        <v>7.6478699999999995E-4</v>
      </c>
      <c r="X43" s="1456">
        <v>764.78700000000003</v>
      </c>
      <c r="Y43" s="1456">
        <v>8.2320999999999991E-3</v>
      </c>
      <c r="Z43" s="1257">
        <v>1.1854199999999999</v>
      </c>
      <c r="AA43" s="1319">
        <f t="shared" si="13"/>
        <v>2.2150819698930558E-16</v>
      </c>
      <c r="AB43" s="1320">
        <f t="shared" si="14"/>
        <v>0</v>
      </c>
      <c r="AC43" s="1320">
        <f t="shared" si="14"/>
        <v>1.1613408958312905E-16</v>
      </c>
      <c r="AD43" s="1320">
        <f t="shared" si="14"/>
        <v>1.8145951497363914E-16</v>
      </c>
      <c r="AE43" s="1320">
        <f t="shared" si="14"/>
        <v>0</v>
      </c>
      <c r="AF43" s="1320">
        <f t="shared" si="14"/>
        <v>1.4176524607315558E-16</v>
      </c>
      <c r="AG43" s="1320">
        <f t="shared" si="14"/>
        <v>0</v>
      </c>
      <c r="AH43" s="1320">
        <f t="shared" si="14"/>
        <v>-1.5113227590007672E-7</v>
      </c>
      <c r="AI43" s="1321">
        <f t="shared" si="14"/>
        <v>1.8734628074716568E-6</v>
      </c>
    </row>
    <row r="44" spans="3:35" x14ac:dyDescent="0.25">
      <c r="C44" s="1435">
        <v>685</v>
      </c>
      <c r="D44" s="1269" t="s">
        <v>56</v>
      </c>
      <c r="E44" s="1254">
        <f>C44/0.000009869233</f>
        <v>69407622.659227923</v>
      </c>
      <c r="F44" s="1435">
        <v>8</v>
      </c>
      <c r="G44" s="1269" t="s">
        <v>85</v>
      </c>
      <c r="H44" s="1254">
        <f t="shared" ref="H44:H51" si="25">F44</f>
        <v>8</v>
      </c>
      <c r="I44" s="1435">
        <f t="shared" si="16"/>
        <v>1.1526111532846715E-9</v>
      </c>
      <c r="J44" s="1446">
        <f t="shared" si="17"/>
        <v>2.8481641871571815E-11</v>
      </c>
      <c r="K44" s="1446">
        <f t="shared" si="18"/>
        <v>1.1526111532846716E-3</v>
      </c>
      <c r="L44" s="1446">
        <f t="shared" si="19"/>
        <v>1.1526111532846716E-5</v>
      </c>
      <c r="M44" s="1446">
        <f t="shared" si="20"/>
        <v>1.1526111532846716E-11</v>
      </c>
      <c r="N44" s="1446">
        <f t="shared" si="21"/>
        <v>1.1526111532846716E-7</v>
      </c>
      <c r="O44" s="1446">
        <f t="shared" si="22"/>
        <v>0.11526111532846715</v>
      </c>
      <c r="P44" s="1446">
        <f t="shared" si="23"/>
        <v>1.2406603199256683E-6</v>
      </c>
      <c r="Q44" s="1270">
        <f t="shared" si="24"/>
        <v>1.7865508606929625E-4</v>
      </c>
      <c r="R44" s="1605">
        <v>1.1526111532846701E-9</v>
      </c>
      <c r="S44" s="1477">
        <v>2.8481641871571798E-11</v>
      </c>
      <c r="T44" s="1446">
        <v>1.1526100000000001E-3</v>
      </c>
      <c r="U44" s="1477">
        <v>1.15261115328467E-5</v>
      </c>
      <c r="V44" s="1477">
        <v>1.15261115328467E-11</v>
      </c>
      <c r="W44" s="1477">
        <v>1.15261115328467E-7</v>
      </c>
      <c r="X44" s="1446">
        <v>0.115261</v>
      </c>
      <c r="Y44" s="1477">
        <v>1.24066031992567E-6</v>
      </c>
      <c r="Z44" s="1254">
        <v>1.78655E-4</v>
      </c>
      <c r="AA44" s="1277">
        <f t="shared" si="13"/>
        <v>1.2559014962180216E-15</v>
      </c>
      <c r="AB44" s="1278">
        <f t="shared" si="14"/>
        <v>5.672380620392489E-16</v>
      </c>
      <c r="AC44" s="1278">
        <f t="shared" si="14"/>
        <v>1.0005843412600618E-6</v>
      </c>
      <c r="AD44" s="1278">
        <f t="shared" si="14"/>
        <v>1.3227872216166042E-15</v>
      </c>
      <c r="AE44" s="1278">
        <f t="shared" si="14"/>
        <v>1.4016757770290419E-15</v>
      </c>
      <c r="AF44" s="1278">
        <f t="shared" si="14"/>
        <v>1.3779033558506295E-15</v>
      </c>
      <c r="AG44" s="1278">
        <f t="shared" si="14"/>
        <v>1.0005843412374863E-6</v>
      </c>
      <c r="AH44" s="1278">
        <f t="shared" si="14"/>
        <v>-1.3654550462370694E-15</v>
      </c>
      <c r="AI44" s="1279">
        <f t="shared" si="14"/>
        <v>4.8176236200236506E-7</v>
      </c>
    </row>
    <row r="45" spans="3:35" x14ac:dyDescent="0.25">
      <c r="C45" s="1435">
        <v>142</v>
      </c>
      <c r="D45" s="1269" t="s">
        <v>57</v>
      </c>
      <c r="E45" s="1254">
        <f>C45*100000</f>
        <v>14200000</v>
      </c>
      <c r="F45" s="1435">
        <v>36</v>
      </c>
      <c r="G45" s="1269" t="s">
        <v>85</v>
      </c>
      <c r="H45" s="1254">
        <f t="shared" si="25"/>
        <v>36</v>
      </c>
      <c r="I45" s="1435">
        <f t="shared" si="16"/>
        <v>2.5352112676056339E-8</v>
      </c>
      <c r="J45" s="1446">
        <f t="shared" si="17"/>
        <v>6.2646434738154588E-10</v>
      </c>
      <c r="K45" s="1446">
        <f t="shared" si="18"/>
        <v>2.5352112676056339E-2</v>
      </c>
      <c r="L45" s="1446">
        <f t="shared" si="19"/>
        <v>2.535211267605634E-4</v>
      </c>
      <c r="M45" s="1446">
        <f t="shared" si="20"/>
        <v>2.5352112676056337E-10</v>
      </c>
      <c r="N45" s="1446">
        <f t="shared" si="21"/>
        <v>2.5352112676056338E-6</v>
      </c>
      <c r="O45" s="1446">
        <f t="shared" si="22"/>
        <v>2.535211267605634</v>
      </c>
      <c r="P45" s="1446">
        <f t="shared" si="23"/>
        <v>2.7288786971940143E-5</v>
      </c>
      <c r="Q45" s="1270">
        <f t="shared" si="24"/>
        <v>3.9295853239593804E-3</v>
      </c>
      <c r="R45" s="1605">
        <v>2.53521126760563E-8</v>
      </c>
      <c r="S45" s="1477">
        <v>6.2646434738154598E-10</v>
      </c>
      <c r="T45" s="1446">
        <v>2.5352099999999999E-2</v>
      </c>
      <c r="U45" s="1446">
        <v>2.5352099999999999E-4</v>
      </c>
      <c r="V45" s="1477">
        <v>2.5352112676056301E-10</v>
      </c>
      <c r="W45" s="1477">
        <v>2.53521126760563E-6</v>
      </c>
      <c r="X45" s="1446">
        <v>2.5352100000000002</v>
      </c>
      <c r="Y45" s="1477">
        <v>2.7288786971940099E-5</v>
      </c>
      <c r="Z45" s="1605">
        <v>3.9295900000000002E-3</v>
      </c>
      <c r="AA45" s="1277">
        <f t="shared" si="13"/>
        <v>1.5661286264337323E-15</v>
      </c>
      <c r="AB45" s="1278">
        <f t="shared" si="14"/>
        <v>-1.6504941901530836E-16</v>
      </c>
      <c r="AC45" s="1278">
        <f t="shared" si="14"/>
        <v>5.0000000007798429E-7</v>
      </c>
      <c r="AD45" s="1278">
        <f t="shared" si="14"/>
        <v>5.0000000014640952E-7</v>
      </c>
      <c r="AE45" s="1278">
        <f t="shared" si="14"/>
        <v>1.4274609876349123E-15</v>
      </c>
      <c r="AF45" s="1278">
        <f t="shared" si="14"/>
        <v>1.5034834813763831E-15</v>
      </c>
      <c r="AG45" s="1278">
        <f t="shared" si="14"/>
        <v>4.9999999999587408E-7</v>
      </c>
      <c r="AH45" s="1278">
        <f t="shared" si="14"/>
        <v>1.614059038333726E-15</v>
      </c>
      <c r="AI45" s="1279">
        <f t="shared" si="14"/>
        <v>-1.1899577778104181E-6</v>
      </c>
    </row>
    <row r="46" spans="3:35" x14ac:dyDescent="0.25">
      <c r="C46" s="1435">
        <v>1125</v>
      </c>
      <c r="D46" s="1269" t="s">
        <v>58</v>
      </c>
      <c r="E46" s="1254">
        <f>C46*1000</f>
        <v>1125000</v>
      </c>
      <c r="F46" s="1435">
        <v>982</v>
      </c>
      <c r="G46" s="1269" t="s">
        <v>85</v>
      </c>
      <c r="H46" s="1254">
        <f t="shared" si="25"/>
        <v>982</v>
      </c>
      <c r="I46" s="1435">
        <f t="shared" si="16"/>
        <v>8.7288888888888881E-6</v>
      </c>
      <c r="J46" s="1446">
        <f t="shared" si="17"/>
        <v>2.1569554186733898E-7</v>
      </c>
      <c r="K46" s="1446">
        <f t="shared" si="18"/>
        <v>8.7288888888888891</v>
      </c>
      <c r="L46" s="1446">
        <f t="shared" si="19"/>
        <v>8.7288888888888888E-2</v>
      </c>
      <c r="M46" s="1446">
        <f t="shared" si="20"/>
        <v>8.7288888888888881E-8</v>
      </c>
      <c r="N46" s="1446">
        <f t="shared" si="21"/>
        <v>8.7288888888888887E-4</v>
      </c>
      <c r="O46" s="1446">
        <f t="shared" si="22"/>
        <v>872.88888888888891</v>
      </c>
      <c r="P46" s="1446">
        <f t="shared" si="23"/>
        <v>9.3956978037412851E-3</v>
      </c>
      <c r="Q46" s="1270">
        <f t="shared" si="24"/>
        <v>1.3529804837387454</v>
      </c>
      <c r="R46" s="1605">
        <v>8.7288888888888898E-6</v>
      </c>
      <c r="S46" s="1477">
        <v>2.15695541867339E-7</v>
      </c>
      <c r="T46" s="1446">
        <v>8.7288899999999998</v>
      </c>
      <c r="U46" s="1446">
        <v>8.7288900000000003E-2</v>
      </c>
      <c r="V46" s="1477">
        <v>8.7288888888888894E-8</v>
      </c>
      <c r="W46" s="1446">
        <v>8.7288899999999996E-4</v>
      </c>
      <c r="X46" s="1446">
        <v>872.88900000000001</v>
      </c>
      <c r="Y46" s="1446">
        <v>9.3956999999999999E-3</v>
      </c>
      <c r="Z46" s="1254">
        <v>1.3529800000000001</v>
      </c>
      <c r="AA46" s="1277">
        <f t="shared" si="13"/>
        <v>-1.9407577712038451E-16</v>
      </c>
      <c r="AB46" s="1278">
        <f t="shared" si="14"/>
        <v>-1.2271825079248421E-16</v>
      </c>
      <c r="AC46" s="1278">
        <f t="shared" si="14"/>
        <v>-1.2729124231248356E-7</v>
      </c>
      <c r="AD46" s="1278">
        <f t="shared" si="14"/>
        <v>-1.2729124240151622E-7</v>
      </c>
      <c r="AE46" s="1278">
        <f t="shared" si="14"/>
        <v>-1.5162170087530041E-16</v>
      </c>
      <c r="AF46" s="1278">
        <f t="shared" si="14"/>
        <v>-1.2729124233692779E-7</v>
      </c>
      <c r="AG46" s="1278">
        <f t="shared" si="14"/>
        <v>-1.2729124234504409E-7</v>
      </c>
      <c r="AH46" s="1278">
        <f t="shared" si="14"/>
        <v>-2.3375152763521057E-7</v>
      </c>
      <c r="AI46" s="1279">
        <f t="shared" si="14"/>
        <v>3.5753564156816294E-7</v>
      </c>
    </row>
    <row r="47" spans="3:35" x14ac:dyDescent="0.25">
      <c r="C47" s="1435">
        <v>874</v>
      </c>
      <c r="D47" s="1269" t="s">
        <v>59</v>
      </c>
      <c r="E47" s="1254">
        <f>C47*9.80665</f>
        <v>8571.0120999999999</v>
      </c>
      <c r="F47" s="1435">
        <v>29</v>
      </c>
      <c r="G47" s="1269" t="s">
        <v>85</v>
      </c>
      <c r="H47" s="1254">
        <f t="shared" si="25"/>
        <v>29</v>
      </c>
      <c r="I47" s="1435">
        <f t="shared" si="16"/>
        <v>3.3834977318489607E-5</v>
      </c>
      <c r="J47" s="1446">
        <f t="shared" si="17"/>
        <v>8.3608049772182613E-7</v>
      </c>
      <c r="K47" s="1446">
        <f t="shared" si="18"/>
        <v>33.834977318489607</v>
      </c>
      <c r="L47" s="1446">
        <f t="shared" si="19"/>
        <v>0.33834977318489606</v>
      </c>
      <c r="M47" s="1446">
        <f t="shared" si="20"/>
        <v>3.383497731848961E-7</v>
      </c>
      <c r="N47" s="1446">
        <f t="shared" si="21"/>
        <v>3.3834977318489608E-3</v>
      </c>
      <c r="O47" s="1446">
        <f t="shared" si="22"/>
        <v>3383.4977318489609</v>
      </c>
      <c r="P47" s="1446">
        <f t="shared" si="23"/>
        <v>3.6419666480762745E-2</v>
      </c>
      <c r="Q47" s="1270">
        <f t="shared" si="24"/>
        <v>5.2444319732298359</v>
      </c>
      <c r="R47" s="1605">
        <v>3.38349773184896E-5</v>
      </c>
      <c r="S47" s="1477">
        <v>8.3608049772182603E-7</v>
      </c>
      <c r="T47" s="1446">
        <v>33.835000000000001</v>
      </c>
      <c r="U47" s="1446">
        <v>0.33834999999999998</v>
      </c>
      <c r="V47" s="1477">
        <v>3.38349773184896E-7</v>
      </c>
      <c r="W47" s="1446">
        <v>3.3834999999999998E-3</v>
      </c>
      <c r="X47" s="1446">
        <v>3383.5</v>
      </c>
      <c r="Y47" s="1446">
        <v>3.6419699999999999E-2</v>
      </c>
      <c r="Z47" s="1254">
        <v>5.2444300000000004</v>
      </c>
      <c r="AA47" s="1277">
        <f t="shared" si="13"/>
        <v>2.0027392110386954E-16</v>
      </c>
      <c r="AB47" s="1278">
        <f t="shared" si="14"/>
        <v>1.2663746935287897E-16</v>
      </c>
      <c r="AC47" s="1278">
        <f t="shared" si="14"/>
        <v>-6.7035689667544524E-7</v>
      </c>
      <c r="AD47" s="1278">
        <f t="shared" si="14"/>
        <v>-6.7035689660981946E-7</v>
      </c>
      <c r="AE47" s="1278">
        <f t="shared" si="14"/>
        <v>3.129280017247961E-16</v>
      </c>
      <c r="AF47" s="1278">
        <f t="shared" si="14"/>
        <v>-6.7035689653291426E-7</v>
      </c>
      <c r="AG47" s="1278">
        <f t="shared" si="14"/>
        <v>-6.7035689656624395E-7</v>
      </c>
      <c r="AH47" s="1278">
        <f t="shared" si="14"/>
        <v>-9.2036090642319012E-7</v>
      </c>
      <c r="AI47" s="1279">
        <f t="shared" si="14"/>
        <v>3.7625234641240127E-7</v>
      </c>
    </row>
    <row r="48" spans="3:35" x14ac:dyDescent="0.25">
      <c r="C48" s="1435">
        <v>0.5</v>
      </c>
      <c r="D48" s="1269" t="s">
        <v>67</v>
      </c>
      <c r="E48" s="1254">
        <f>C48*1000000</f>
        <v>500000</v>
      </c>
      <c r="F48" s="1435">
        <v>216</v>
      </c>
      <c r="G48" s="1269" t="s">
        <v>85</v>
      </c>
      <c r="H48" s="1254">
        <f t="shared" si="25"/>
        <v>216</v>
      </c>
      <c r="I48" s="1435">
        <f t="shared" si="16"/>
        <v>4.3200000000000001E-6</v>
      </c>
      <c r="J48" s="1446">
        <f t="shared" si="17"/>
        <v>1.0674952479381542E-7</v>
      </c>
      <c r="K48" s="1446">
        <f t="shared" si="18"/>
        <v>4.3199999999999994</v>
      </c>
      <c r="L48" s="1446">
        <f t="shared" si="19"/>
        <v>4.3199999999999995E-2</v>
      </c>
      <c r="M48" s="1446">
        <f t="shared" si="20"/>
        <v>4.3199999999999996E-8</v>
      </c>
      <c r="N48" s="1446">
        <f t="shared" si="21"/>
        <v>4.3199999999999998E-4</v>
      </c>
      <c r="O48" s="1446">
        <f t="shared" si="22"/>
        <v>432</v>
      </c>
      <c r="P48" s="1446">
        <f t="shared" si="23"/>
        <v>4.6500093000186003E-3</v>
      </c>
      <c r="Q48" s="1270">
        <f t="shared" si="24"/>
        <v>0.66960133920267828</v>
      </c>
      <c r="R48" s="1605">
        <v>4.3200000000000001E-6</v>
      </c>
      <c r="S48" s="1477">
        <v>1.06749524793815E-7</v>
      </c>
      <c r="T48" s="1446">
        <v>4.32</v>
      </c>
      <c r="U48" s="1446">
        <v>4.3200000000000002E-2</v>
      </c>
      <c r="V48" s="1477">
        <v>4.3200000000000003E-8</v>
      </c>
      <c r="W48" s="1446">
        <v>4.3199999999999998E-4</v>
      </c>
      <c r="X48" s="1446">
        <v>432</v>
      </c>
      <c r="Y48" s="1446">
        <v>4.6500100000000004E-3</v>
      </c>
      <c r="Z48" s="1254">
        <v>0.669601</v>
      </c>
      <c r="AA48" s="1277">
        <f t="shared" si="13"/>
        <v>0</v>
      </c>
      <c r="AB48" s="1278">
        <f t="shared" si="14"/>
        <v>3.9673850955792433E-15</v>
      </c>
      <c r="AC48" s="1278">
        <f t="shared" si="14"/>
        <v>-2.0559685641206605E-16</v>
      </c>
      <c r="AD48" s="1278">
        <f t="shared" si="14"/>
        <v>-1.6062254407192661E-16</v>
      </c>
      <c r="AE48" s="1278">
        <f t="shared" si="14"/>
        <v>-1.5318159491722735E-16</v>
      </c>
      <c r="AF48" s="1278">
        <f t="shared" si="14"/>
        <v>0</v>
      </c>
      <c r="AG48" s="1278">
        <f t="shared" si="14"/>
        <v>0</v>
      </c>
      <c r="AH48" s="1278">
        <f t="shared" si="14"/>
        <v>-1.5053333336282014E-7</v>
      </c>
      <c r="AI48" s="1279">
        <f t="shared" si="14"/>
        <v>5.0657407388524411E-7</v>
      </c>
    </row>
    <row r="49" spans="3:35" x14ac:dyDescent="0.25">
      <c r="C49" s="1435">
        <v>0.9</v>
      </c>
      <c r="D49" s="1269" t="s">
        <v>61</v>
      </c>
      <c r="E49" s="1254">
        <f>C49</f>
        <v>0.9</v>
      </c>
      <c r="F49" s="1435">
        <v>5165</v>
      </c>
      <c r="G49" s="1269" t="s">
        <v>85</v>
      </c>
      <c r="H49" s="1254">
        <f t="shared" si="25"/>
        <v>5165</v>
      </c>
      <c r="I49" s="1435">
        <f t="shared" si="16"/>
        <v>57.388888888888886</v>
      </c>
      <c r="J49" s="1446">
        <f t="shared" si="17"/>
        <v>1.4181103280865655</v>
      </c>
      <c r="K49" s="1446">
        <f t="shared" si="18"/>
        <v>57388888.888888888</v>
      </c>
      <c r="L49" s="1446">
        <f t="shared" si="19"/>
        <v>573888.88888888888</v>
      </c>
      <c r="M49" s="1446">
        <f t="shared" si="20"/>
        <v>0.57388888888888889</v>
      </c>
      <c r="N49" s="1446">
        <f t="shared" si="21"/>
        <v>5738.8888888888887</v>
      </c>
      <c r="O49" s="1446">
        <f t="shared" si="22"/>
        <v>5738888888.8888884</v>
      </c>
      <c r="P49" s="1446">
        <f t="shared" si="23"/>
        <v>61772.885891450795</v>
      </c>
      <c r="Q49" s="1270">
        <f t="shared" si="24"/>
        <v>8895295.5683689136</v>
      </c>
      <c r="R49" s="1254">
        <v>57.3889</v>
      </c>
      <c r="S49" s="1446">
        <v>1.41811</v>
      </c>
      <c r="T49" s="1446">
        <v>57388889</v>
      </c>
      <c r="U49" s="1446">
        <v>573889</v>
      </c>
      <c r="V49" s="1446">
        <v>0.57388899999999998</v>
      </c>
      <c r="W49" s="1446">
        <v>5738.89</v>
      </c>
      <c r="X49" s="1446">
        <v>5738888889</v>
      </c>
      <c r="Y49" s="1446">
        <v>61772.9</v>
      </c>
      <c r="Z49" s="1254">
        <v>8895296</v>
      </c>
      <c r="AA49" s="1277">
        <f t="shared" si="13"/>
        <v>-1.9361084225486145E-7</v>
      </c>
      <c r="AB49" s="1278">
        <f t="shared" si="14"/>
        <v>2.3135475355685457E-7</v>
      </c>
      <c r="AC49" s="1278">
        <f t="shared" si="14"/>
        <v>-1.936108436496768E-9</v>
      </c>
      <c r="AD49" s="1278">
        <f t="shared" si="14"/>
        <v>-1.9361084222970288E-7</v>
      </c>
      <c r="AE49" s="1278">
        <f t="shared" si="14"/>
        <v>-1.9361084216974075E-7</v>
      </c>
      <c r="AF49" s="1278">
        <f t="shared" si="14"/>
        <v>-1.9361084229943373E-7</v>
      </c>
      <c r="AG49" s="1278">
        <f t="shared" si="14"/>
        <v>-1.9361176541560157E-11</v>
      </c>
      <c r="AH49" s="1278">
        <f t="shared" si="14"/>
        <v>-2.2839388193161085E-7</v>
      </c>
      <c r="AI49" s="1279">
        <f t="shared" si="14"/>
        <v>-4.8523523819606691E-8</v>
      </c>
    </row>
    <row r="50" spans="3:35" x14ac:dyDescent="0.25">
      <c r="C50" s="1435">
        <v>23</v>
      </c>
      <c r="D50" s="1269" t="s">
        <v>66</v>
      </c>
      <c r="E50" s="1254">
        <f>C50/0.0001450377</f>
        <v>158579.4589958335</v>
      </c>
      <c r="F50" s="1435">
        <v>5618</v>
      </c>
      <c r="G50" s="1269" t="s">
        <v>85</v>
      </c>
      <c r="H50" s="1254">
        <f t="shared" si="25"/>
        <v>5618</v>
      </c>
      <c r="I50" s="1435">
        <f t="shared" si="16"/>
        <v>3.5427034721739129E-4</v>
      </c>
      <c r="J50" s="1446">
        <f t="shared" si="17"/>
        <v>8.7542109291658585E-6</v>
      </c>
      <c r="K50" s="1446">
        <f t="shared" si="18"/>
        <v>354.2703472173913</v>
      </c>
      <c r="L50" s="1446">
        <f t="shared" si="19"/>
        <v>3.5427034721739128</v>
      </c>
      <c r="M50" s="1446">
        <f t="shared" si="20"/>
        <v>3.5427034721739131E-6</v>
      </c>
      <c r="N50" s="1446">
        <f t="shared" si="21"/>
        <v>3.542703472173913E-2</v>
      </c>
      <c r="O50" s="1446">
        <f t="shared" si="22"/>
        <v>35427.034721739132</v>
      </c>
      <c r="P50" s="1446">
        <f t="shared" si="23"/>
        <v>0.38133342807446485</v>
      </c>
      <c r="Q50" s="1270">
        <f t="shared" si="24"/>
        <v>54.91201364272294</v>
      </c>
      <c r="R50" s="1254">
        <v>3.5427000000000001E-4</v>
      </c>
      <c r="S50" s="1477">
        <v>8.7542109291658602E-6</v>
      </c>
      <c r="T50" s="1446">
        <v>354.27</v>
      </c>
      <c r="U50" s="1446">
        <v>3.5427</v>
      </c>
      <c r="V50" s="1477">
        <v>3.5427034721739101E-6</v>
      </c>
      <c r="W50" s="1446">
        <v>3.5427E-2</v>
      </c>
      <c r="X50" s="1446">
        <v>35427</v>
      </c>
      <c r="Y50" s="1446">
        <v>0.38133299999999998</v>
      </c>
      <c r="Z50" s="1254">
        <v>54.911999999999999</v>
      </c>
      <c r="AA50" s="1277">
        <f t="shared" si="13"/>
        <v>9.8009159957513099E-7</v>
      </c>
      <c r="AB50" s="1278">
        <f t="shared" ref="AB50:AI51" si="26" xml:space="preserve"> (J50-S50)/J50</f>
        <v>-1.9351440217925148E-16</v>
      </c>
      <c r="AC50" s="1278">
        <f t="shared" si="26"/>
        <v>9.8009159967687278E-7</v>
      </c>
      <c r="AD50" s="1278">
        <f t="shared" si="26"/>
        <v>9.8009159956656198E-7</v>
      </c>
      <c r="AE50" s="1278">
        <f t="shared" si="26"/>
        <v>8.368228779731517E-16</v>
      </c>
      <c r="AF50" s="1278">
        <f t="shared" si="26"/>
        <v>9.8009159960573471E-7</v>
      </c>
      <c r="AG50" s="1278">
        <f t="shared" si="26"/>
        <v>9.8009159966403642E-7</v>
      </c>
      <c r="AH50" s="1278">
        <f t="shared" si="26"/>
        <v>1.1225726185008877E-6</v>
      </c>
      <c r="AI50" s="1279">
        <f t="shared" si="26"/>
        <v>2.4844696152379498E-7</v>
      </c>
    </row>
    <row r="51" spans="3:35" ht="15.75" thickBot="1" x14ac:dyDescent="0.3">
      <c r="C51" s="1484">
        <v>4125</v>
      </c>
      <c r="D51" s="1479" t="s">
        <v>63</v>
      </c>
      <c r="E51" s="1480">
        <f>C51/0.007500616</f>
        <v>549954.8303765984</v>
      </c>
      <c r="F51" s="1484">
        <v>841651</v>
      </c>
      <c r="G51" s="1479" t="s">
        <v>85</v>
      </c>
      <c r="H51" s="1480">
        <f t="shared" si="25"/>
        <v>841651</v>
      </c>
      <c r="I51" s="1484">
        <f t="shared" si="16"/>
        <v>1.5304002320038788E-2</v>
      </c>
      <c r="J51" s="1483">
        <f t="shared" si="17"/>
        <v>3.7817013312675679E-4</v>
      </c>
      <c r="K51" s="1483">
        <f t="shared" si="18"/>
        <v>15304.002320038788</v>
      </c>
      <c r="L51" s="1483">
        <f t="shared" si="19"/>
        <v>153.04002320038788</v>
      </c>
      <c r="M51" s="1483">
        <f t="shared" si="20"/>
        <v>1.5304002320038788E-4</v>
      </c>
      <c r="N51" s="1483">
        <f t="shared" si="21"/>
        <v>1.5304002320038788</v>
      </c>
      <c r="O51" s="1483">
        <f t="shared" si="22"/>
        <v>1530400.2320038788</v>
      </c>
      <c r="P51" s="1483">
        <f t="shared" si="23"/>
        <v>16.473090999001528</v>
      </c>
      <c r="Q51" s="1482">
        <f t="shared" si="24"/>
        <v>2372.12510385622</v>
      </c>
      <c r="R51" s="1480">
        <v>1.5304E-2</v>
      </c>
      <c r="S51" s="1483">
        <v>3.7816999999999999E-4</v>
      </c>
      <c r="T51" s="1483">
        <v>15304</v>
      </c>
      <c r="U51" s="1483">
        <v>153.04</v>
      </c>
      <c r="V51" s="1483">
        <v>1.5304000000000001E-4</v>
      </c>
      <c r="W51" s="1483">
        <v>1.5304</v>
      </c>
      <c r="X51" s="1483">
        <v>1530400</v>
      </c>
      <c r="Y51" s="1483">
        <v>16.473099999999999</v>
      </c>
      <c r="Z51" s="1480">
        <v>2372.13</v>
      </c>
      <c r="AA51" s="1392">
        <f t="shared" si="13"/>
        <v>1.5159686592457322E-7</v>
      </c>
      <c r="AB51" s="1393">
        <f t="shared" si="26"/>
        <v>3.5202874350875298E-7</v>
      </c>
      <c r="AC51" s="1393">
        <f t="shared" si="26"/>
        <v>1.5159686591864634E-7</v>
      </c>
      <c r="AD51" s="1393">
        <f t="shared" si="26"/>
        <v>1.5159686597807489E-7</v>
      </c>
      <c r="AE51" s="1393">
        <f t="shared" si="26"/>
        <v>1.5159686588915104E-7</v>
      </c>
      <c r="AF51" s="1393">
        <f t="shared" si="26"/>
        <v>1.5159686592003918E-7</v>
      </c>
      <c r="AG51" s="1393">
        <f t="shared" si="26"/>
        <v>1.5159686593766348E-7</v>
      </c>
      <c r="AH51" s="1393">
        <f t="shared" si="26"/>
        <v>-5.4640616454767942E-7</v>
      </c>
      <c r="AI51" s="1394">
        <f t="shared" si="26"/>
        <v>-2.0640326988471294E-6</v>
      </c>
    </row>
    <row r="52" spans="3:35" ht="15.75" thickTop="1" x14ac:dyDescent="0.25"/>
    <row r="53" spans="3:35" ht="15.75" thickBot="1" x14ac:dyDescent="0.3"/>
    <row r="54" spans="3:35" ht="15.75" thickTop="1" x14ac:dyDescent="0.25">
      <c r="C54" s="2488" t="s">
        <v>0</v>
      </c>
      <c r="D54" s="2489"/>
      <c r="E54" s="2489"/>
      <c r="F54" s="2489"/>
      <c r="G54" s="2489"/>
      <c r="H54" s="2489"/>
      <c r="I54" s="2506" t="s">
        <v>158</v>
      </c>
      <c r="J54" s="2522"/>
      <c r="K54" s="2509" t="s">
        <v>17</v>
      </c>
      <c r="L54" s="2516"/>
      <c r="M54" s="2506" t="s">
        <v>8</v>
      </c>
      <c r="N54" s="2522"/>
    </row>
    <row r="55" spans="3:35" ht="15.75" thickBot="1" x14ac:dyDescent="0.3">
      <c r="C55" s="2486" t="s">
        <v>154</v>
      </c>
      <c r="D55" s="2487"/>
      <c r="E55" s="2487"/>
      <c r="F55" s="2486" t="s">
        <v>137</v>
      </c>
      <c r="G55" s="2487"/>
      <c r="H55" s="2487"/>
      <c r="I55" s="2480" t="s">
        <v>139</v>
      </c>
      <c r="J55" s="2482"/>
      <c r="K55" s="2486" t="s">
        <v>139</v>
      </c>
      <c r="L55" s="2496"/>
      <c r="M55" s="2480" t="s">
        <v>139</v>
      </c>
      <c r="N55" s="2482"/>
    </row>
    <row r="56" spans="3:35" ht="18" thickBot="1" x14ac:dyDescent="0.3">
      <c r="C56" s="82" t="s">
        <v>3</v>
      </c>
      <c r="D56" s="66" t="s">
        <v>4</v>
      </c>
      <c r="E56" s="84" t="s">
        <v>106</v>
      </c>
      <c r="F56" s="82" t="s">
        <v>3</v>
      </c>
      <c r="G56" s="66" t="s">
        <v>4</v>
      </c>
      <c r="H56" s="84" t="s">
        <v>61</v>
      </c>
      <c r="I56" s="86" t="s">
        <v>84</v>
      </c>
      <c r="J56" s="697" t="s">
        <v>85</v>
      </c>
      <c r="K56" s="698" t="s">
        <v>84</v>
      </c>
      <c r="L56" s="699" t="s">
        <v>85</v>
      </c>
      <c r="M56" s="86" t="s">
        <v>84</v>
      </c>
      <c r="N56" s="697" t="s">
        <v>85</v>
      </c>
    </row>
    <row r="57" spans="3:35" ht="15.75" thickTop="1" x14ac:dyDescent="0.25">
      <c r="C57" s="1051">
        <v>650</v>
      </c>
      <c r="D57" s="1052" t="s">
        <v>104</v>
      </c>
      <c r="E57" s="1053">
        <f>C57*100</f>
        <v>65000</v>
      </c>
      <c r="F57" s="1051">
        <v>82</v>
      </c>
      <c r="G57" s="1052" t="s">
        <v>55</v>
      </c>
      <c r="H57" s="1053">
        <f>F57/0.00001019716</f>
        <v>8041454.6795382239</v>
      </c>
      <c r="I57" s="1051">
        <f>J57/9.80665</f>
        <v>53300011132.240326</v>
      </c>
      <c r="J57" s="1214">
        <f>H57*E57</f>
        <v>522694554169.98456</v>
      </c>
      <c r="K57" s="1182">
        <v>53300011132</v>
      </c>
      <c r="L57" s="1214">
        <v>522694554170</v>
      </c>
      <c r="M57" s="980">
        <f xml:space="preserve"> (I57-K57)/I57</f>
        <v>4.5089282840506888E-12</v>
      </c>
      <c r="N57" s="1215">
        <f xml:space="preserve"> (J57-L57)/J57</f>
        <v>-2.9542864772660651E-14</v>
      </c>
    </row>
    <row r="58" spans="3:35" x14ac:dyDescent="0.25">
      <c r="C58" s="1059">
        <v>520</v>
      </c>
      <c r="D58" s="59" t="s">
        <v>105</v>
      </c>
      <c r="E58" s="32">
        <f>C58*4046.8564224</f>
        <v>2104365.339648</v>
      </c>
      <c r="F58" s="71">
        <v>65</v>
      </c>
      <c r="G58" s="59" t="s">
        <v>55</v>
      </c>
      <c r="H58" s="32">
        <f t="shared" ref="H58:H65" si="27">F58/0.00001019716</f>
        <v>6374323.831341275</v>
      </c>
      <c r="I58" s="1059">
        <f t="shared" ref="I58:I121" si="28">J58/9.80665</f>
        <v>1367837756457.7937</v>
      </c>
      <c r="J58" s="1218">
        <f t="shared" ref="J58:J121" si="29">H58*E58</f>
        <v>13413906134366.822</v>
      </c>
      <c r="K58" s="1185">
        <v>1367837756458</v>
      </c>
      <c r="L58" s="1218">
        <v>13413906134367</v>
      </c>
      <c r="M58" s="897">
        <f t="shared" ref="M58:M121" si="30" xml:space="preserve"> (I58-K58)/I58</f>
        <v>-1.5082112418013636E-13</v>
      </c>
      <c r="N58" s="1217">
        <f t="shared" ref="N58:N121" si="31" xml:space="preserve"> (J58-L58)/J58</f>
        <v>-1.3250008850489814E-14</v>
      </c>
    </row>
    <row r="59" spans="3:35" ht="17.25" x14ac:dyDescent="0.25">
      <c r="C59" s="1059">
        <v>840</v>
      </c>
      <c r="D59" s="59" t="s">
        <v>112</v>
      </c>
      <c r="E59" s="32">
        <f>C59/10000</f>
        <v>8.4000000000000005E-2</v>
      </c>
      <c r="F59" s="71">
        <v>187</v>
      </c>
      <c r="G59" s="59" t="s">
        <v>55</v>
      </c>
      <c r="H59" s="32">
        <f t="shared" si="27"/>
        <v>18338439.330166437</v>
      </c>
      <c r="I59" s="1059">
        <f t="shared" si="28"/>
        <v>157080.03280773567</v>
      </c>
      <c r="J59" s="1218">
        <f t="shared" si="29"/>
        <v>1540428.9037339808</v>
      </c>
      <c r="K59" s="1185">
        <v>157080</v>
      </c>
      <c r="L59" s="1218">
        <v>1540429</v>
      </c>
      <c r="M59" s="897">
        <f t="shared" si="30"/>
        <v>2.0886000010062363E-7</v>
      </c>
      <c r="N59" s="1217">
        <f t="shared" si="31"/>
        <v>-6.2492997193650199E-8</v>
      </c>
    </row>
    <row r="60" spans="3:35" ht="17.25" x14ac:dyDescent="0.25">
      <c r="C60" s="1059">
        <v>12</v>
      </c>
      <c r="D60" s="59" t="s">
        <v>107</v>
      </c>
      <c r="E60" s="32">
        <f>C60/100</f>
        <v>0.12</v>
      </c>
      <c r="F60" s="71">
        <v>65</v>
      </c>
      <c r="G60" s="59" t="s">
        <v>55</v>
      </c>
      <c r="H60" s="32">
        <f t="shared" si="27"/>
        <v>6374323.831341275</v>
      </c>
      <c r="I60" s="1059">
        <f t="shared" si="28"/>
        <v>78000.016291083404</v>
      </c>
      <c r="J60" s="1218">
        <f t="shared" si="29"/>
        <v>764918.859760953</v>
      </c>
      <c r="K60" s="1185">
        <v>78000</v>
      </c>
      <c r="L60" s="1218">
        <v>764919</v>
      </c>
      <c r="M60" s="897">
        <f t="shared" si="30"/>
        <v>2.0886000002123819E-7</v>
      </c>
      <c r="N60" s="1217">
        <f t="shared" si="31"/>
        <v>-1.8333846160729404E-7</v>
      </c>
    </row>
    <row r="61" spans="3:35" x14ac:dyDescent="0.25">
      <c r="C61" s="1059">
        <v>91</v>
      </c>
      <c r="D61" s="59" t="s">
        <v>108</v>
      </c>
      <c r="E61" s="32">
        <f>C61*10000</f>
        <v>910000</v>
      </c>
      <c r="F61" s="1059">
        <v>650</v>
      </c>
      <c r="G61" s="59" t="s">
        <v>55</v>
      </c>
      <c r="H61" s="32">
        <f t="shared" si="27"/>
        <v>63743238.313412756</v>
      </c>
      <c r="I61" s="1059">
        <f t="shared" si="28"/>
        <v>5915001235407.1592</v>
      </c>
      <c r="J61" s="1218">
        <f t="shared" si="29"/>
        <v>58006346865205.609</v>
      </c>
      <c r="K61" s="1185">
        <v>5915001235407</v>
      </c>
      <c r="L61" s="1218">
        <v>58006346865206</v>
      </c>
      <c r="M61" s="897">
        <f t="shared" si="30"/>
        <v>2.6911184151095594E-14</v>
      </c>
      <c r="N61" s="1217">
        <f t="shared" si="31"/>
        <v>-6.7341768808114956E-15</v>
      </c>
    </row>
    <row r="62" spans="3:35" ht="17.25" x14ac:dyDescent="0.25">
      <c r="C62" s="1059">
        <v>1122</v>
      </c>
      <c r="D62" s="59" t="s">
        <v>106</v>
      </c>
      <c r="E62" s="32">
        <f>C62</f>
        <v>1122</v>
      </c>
      <c r="F62" s="1059">
        <v>3311</v>
      </c>
      <c r="G62" s="59" t="s">
        <v>55</v>
      </c>
      <c r="H62" s="32">
        <f t="shared" si="27"/>
        <v>324698249.31647635</v>
      </c>
      <c r="I62" s="1059">
        <f t="shared" si="28"/>
        <v>37149427759.029488</v>
      </c>
      <c r="J62" s="1218">
        <f t="shared" si="29"/>
        <v>364311435733.08649</v>
      </c>
      <c r="K62" s="1185">
        <v>37149427759</v>
      </c>
      <c r="L62" s="1218">
        <v>364311435733</v>
      </c>
      <c r="M62" s="897">
        <f t="shared" si="30"/>
        <v>7.937567720976276E-13</v>
      </c>
      <c r="N62" s="1217">
        <f t="shared" si="31"/>
        <v>2.3739802795983252E-13</v>
      </c>
    </row>
    <row r="63" spans="3:35" ht="17.25" x14ac:dyDescent="0.25">
      <c r="C63" s="1059">
        <v>76</v>
      </c>
      <c r="D63" s="59" t="s">
        <v>109</v>
      </c>
      <c r="E63" s="32">
        <f>C63/1000000</f>
        <v>7.6000000000000004E-5</v>
      </c>
      <c r="F63" s="1059">
        <v>599</v>
      </c>
      <c r="G63" s="59" t="s">
        <v>55</v>
      </c>
      <c r="H63" s="32">
        <f t="shared" si="27"/>
        <v>58741845.76882191</v>
      </c>
      <c r="I63" s="1059">
        <f t="shared" si="28"/>
        <v>455.24009508144633</v>
      </c>
      <c r="J63" s="1218">
        <f t="shared" si="29"/>
        <v>4464.3802784304653</v>
      </c>
      <c r="K63" s="1185">
        <v>455.24</v>
      </c>
      <c r="L63" s="1218">
        <v>4464.38</v>
      </c>
      <c r="M63" s="897">
        <f t="shared" si="30"/>
        <v>2.0886000013043575E-7</v>
      </c>
      <c r="N63" s="1217">
        <f t="shared" si="31"/>
        <v>6.2367103118894026E-8</v>
      </c>
    </row>
    <row r="64" spans="3:35" x14ac:dyDescent="0.25">
      <c r="C64" s="1059">
        <v>633</v>
      </c>
      <c r="D64" s="59" t="s">
        <v>110</v>
      </c>
      <c r="E64" s="32">
        <f>C64*144/10000*(2.54*2.54)</f>
        <v>58.807624319999995</v>
      </c>
      <c r="F64" s="1059">
        <v>666</v>
      </c>
      <c r="G64" s="59" t="s">
        <v>55</v>
      </c>
      <c r="H64" s="32">
        <f t="shared" si="27"/>
        <v>65312302.641127527</v>
      </c>
      <c r="I64" s="1059">
        <f t="shared" si="28"/>
        <v>391658859.77306944</v>
      </c>
      <c r="J64" s="1218">
        <f t="shared" si="29"/>
        <v>3840861357.1935711</v>
      </c>
      <c r="K64" s="1185">
        <v>391658860</v>
      </c>
      <c r="L64" s="1218">
        <v>3840861357</v>
      </c>
      <c r="M64" s="897">
        <f t="shared" si="30"/>
        <v>-5.7940872016267825E-10</v>
      </c>
      <c r="N64" s="1217">
        <f t="shared" si="31"/>
        <v>5.0397833375500989E-11</v>
      </c>
    </row>
    <row r="65" spans="3:14" ht="15.75" thickBot="1" x14ac:dyDescent="0.3">
      <c r="C65" s="1072">
        <v>8</v>
      </c>
      <c r="D65" s="60" t="s">
        <v>111</v>
      </c>
      <c r="E65" s="55">
        <f>C65/10000*(2.54*2.54)</f>
        <v>5.1612799999999999E-3</v>
      </c>
      <c r="F65" s="1072">
        <v>405</v>
      </c>
      <c r="G65" s="60" t="s">
        <v>55</v>
      </c>
      <c r="H65" s="55">
        <f t="shared" si="27"/>
        <v>39716940.795280255</v>
      </c>
      <c r="I65" s="1072">
        <f t="shared" si="28"/>
        <v>20903.188365839924</v>
      </c>
      <c r="J65" s="1232">
        <f t="shared" si="29"/>
        <v>204990.25218786407</v>
      </c>
      <c r="K65" s="1233">
        <v>20903.2</v>
      </c>
      <c r="L65" s="1232">
        <v>204990</v>
      </c>
      <c r="M65" s="945">
        <f t="shared" si="30"/>
        <v>-5.5657346971766264E-7</v>
      </c>
      <c r="N65" s="1234">
        <f t="shared" si="31"/>
        <v>1.230243201213343E-6</v>
      </c>
    </row>
    <row r="66" spans="3:14" ht="15.75" thickTop="1" x14ac:dyDescent="0.25">
      <c r="C66" s="1455">
        <v>52</v>
      </c>
      <c r="D66" s="1256" t="s">
        <v>104</v>
      </c>
      <c r="E66" s="1257">
        <f>C66*100</f>
        <v>5200</v>
      </c>
      <c r="F66" s="1455">
        <v>685</v>
      </c>
      <c r="G66" s="1256" t="s">
        <v>56</v>
      </c>
      <c r="H66" s="1257">
        <f>F66/0.000009869233</f>
        <v>69407622.659227923</v>
      </c>
      <c r="I66" s="1455">
        <f t="shared" si="28"/>
        <v>36803560627.531845</v>
      </c>
      <c r="J66" s="1606">
        <f t="shared" si="29"/>
        <v>360919637827.98517</v>
      </c>
      <c r="K66" s="1607">
        <v>36803560628</v>
      </c>
      <c r="L66" s="1606">
        <v>360919637828</v>
      </c>
      <c r="M66" s="1319">
        <f t="shared" si="30"/>
        <v>-1.2720369965408923E-11</v>
      </c>
      <c r="N66" s="1608">
        <f t="shared" si="31"/>
        <v>-4.1093754437985821E-14</v>
      </c>
    </row>
    <row r="67" spans="3:14" x14ac:dyDescent="0.25">
      <c r="C67" s="1435">
        <v>787</v>
      </c>
      <c r="D67" s="1269" t="s">
        <v>105</v>
      </c>
      <c r="E67" s="1254">
        <f>C67*4046.8564224</f>
        <v>3184876.0044288002</v>
      </c>
      <c r="F67" s="1268">
        <v>780</v>
      </c>
      <c r="G67" s="1269" t="s">
        <v>56</v>
      </c>
      <c r="H67" s="1254">
        <f t="shared" ref="H67:H74" si="32">F67/0.000009869233</f>
        <v>79033497.334595293</v>
      </c>
      <c r="I67" s="1435">
        <f t="shared" si="28"/>
        <v>25667469442372.277</v>
      </c>
      <c r="J67" s="1565">
        <f t="shared" si="29"/>
        <v>251711889207040.09</v>
      </c>
      <c r="K67" s="1552">
        <v>25667469442372</v>
      </c>
      <c r="L67" s="1565">
        <v>251711889207040</v>
      </c>
      <c r="M67" s="1277">
        <f t="shared" si="30"/>
        <v>1.0805262693413648E-14</v>
      </c>
      <c r="N67" s="1567">
        <f t="shared" si="31"/>
        <v>3.7244962999299564E-16</v>
      </c>
    </row>
    <row r="68" spans="3:14" ht="17.25" x14ac:dyDescent="0.25">
      <c r="C68" s="1435">
        <v>223</v>
      </c>
      <c r="D68" s="1269" t="s">
        <v>112</v>
      </c>
      <c r="E68" s="1254">
        <f>C68/10000</f>
        <v>2.23E-2</v>
      </c>
      <c r="F68" s="1268">
        <v>560</v>
      </c>
      <c r="G68" s="1269" t="s">
        <v>56</v>
      </c>
      <c r="H68" s="1254">
        <f t="shared" si="32"/>
        <v>56741998.086376108</v>
      </c>
      <c r="I68" s="1435">
        <f t="shared" si="28"/>
        <v>129029.43995413186</v>
      </c>
      <c r="J68" s="1565">
        <f t="shared" si="29"/>
        <v>1265346.5573261871</v>
      </c>
      <c r="K68" s="1552">
        <v>129029</v>
      </c>
      <c r="L68" s="1565">
        <v>1265347</v>
      </c>
      <c r="M68" s="1277">
        <f t="shared" si="30"/>
        <v>3.4097189913604906E-6</v>
      </c>
      <c r="N68" s="1567">
        <f t="shared" si="31"/>
        <v>-3.4984393033683168E-7</v>
      </c>
    </row>
    <row r="69" spans="3:14" ht="17.25" x14ac:dyDescent="0.25">
      <c r="C69" s="1435">
        <v>5200</v>
      </c>
      <c r="D69" s="1269" t="s">
        <v>107</v>
      </c>
      <c r="E69" s="1254">
        <f>C69/100</f>
        <v>52</v>
      </c>
      <c r="F69" s="1268">
        <v>51</v>
      </c>
      <c r="G69" s="1269" t="s">
        <v>56</v>
      </c>
      <c r="H69" s="1254">
        <f t="shared" si="32"/>
        <v>5167574.8257235391</v>
      </c>
      <c r="I69" s="1435">
        <f t="shared" si="28"/>
        <v>27401191.124147803</v>
      </c>
      <c r="J69" s="1565">
        <f t="shared" si="29"/>
        <v>268713890.93762404</v>
      </c>
      <c r="K69" s="1552">
        <v>27401191</v>
      </c>
      <c r="L69" s="1565">
        <v>268713891</v>
      </c>
      <c r="M69" s="1277">
        <f t="shared" si="30"/>
        <v>4.5307447413085749E-9</v>
      </c>
      <c r="N69" s="1567">
        <f t="shared" si="31"/>
        <v>-2.3212779405103997E-10</v>
      </c>
    </row>
    <row r="70" spans="3:14" x14ac:dyDescent="0.25">
      <c r="C70" s="1435">
        <v>411</v>
      </c>
      <c r="D70" s="1269" t="s">
        <v>108</v>
      </c>
      <c r="E70" s="1254">
        <f>C70*10000</f>
        <v>4110000</v>
      </c>
      <c r="F70" s="1268">
        <v>981</v>
      </c>
      <c r="G70" s="1269" t="s">
        <v>56</v>
      </c>
      <c r="H70" s="1254">
        <f t="shared" si="32"/>
        <v>99399821.647741005</v>
      </c>
      <c r="I70" s="1435">
        <f t="shared" si="28"/>
        <v>41658799587240.852</v>
      </c>
      <c r="J70" s="1565">
        <f t="shared" si="29"/>
        <v>408533266972215.5</v>
      </c>
      <c r="K70" s="1552">
        <v>41658799587241</v>
      </c>
      <c r="L70" s="1565">
        <v>408533266972216</v>
      </c>
      <c r="M70" s="1277">
        <f t="shared" si="30"/>
        <v>-3.5631727623150971E-15</v>
      </c>
      <c r="N70" s="1567">
        <f t="shared" si="31"/>
        <v>-1.2238905382312604E-15</v>
      </c>
    </row>
    <row r="71" spans="3:14" ht="17.25" x14ac:dyDescent="0.25">
      <c r="C71" s="1435">
        <v>111</v>
      </c>
      <c r="D71" s="1269" t="s">
        <v>106</v>
      </c>
      <c r="E71" s="1254">
        <f>C71</f>
        <v>111</v>
      </c>
      <c r="F71" s="1435">
        <v>470</v>
      </c>
      <c r="G71" s="1269" t="s">
        <v>56</v>
      </c>
      <c r="H71" s="1254">
        <f t="shared" si="32"/>
        <v>47622748.393922806</v>
      </c>
      <c r="I71" s="1435">
        <f t="shared" si="28"/>
        <v>539034743.94675362</v>
      </c>
      <c r="J71" s="1565">
        <f t="shared" si="29"/>
        <v>5286125071.7254314</v>
      </c>
      <c r="K71" s="1552">
        <v>539034744</v>
      </c>
      <c r="L71" s="1565">
        <v>5286125072</v>
      </c>
      <c r="M71" s="1277">
        <f t="shared" si="30"/>
        <v>-9.8780977472354428E-11</v>
      </c>
      <c r="N71" s="1567">
        <f t="shared" si="31"/>
        <v>-5.1941366126177669E-11</v>
      </c>
    </row>
    <row r="72" spans="3:14" ht="17.25" x14ac:dyDescent="0.25">
      <c r="C72" s="1435">
        <v>450</v>
      </c>
      <c r="D72" s="1269" t="s">
        <v>109</v>
      </c>
      <c r="E72" s="1254">
        <f>C72/1000000</f>
        <v>4.4999999999999999E-4</v>
      </c>
      <c r="F72" s="1435">
        <v>789</v>
      </c>
      <c r="G72" s="1269" t="s">
        <v>56</v>
      </c>
      <c r="H72" s="1254">
        <f t="shared" si="32"/>
        <v>79945422.303840622</v>
      </c>
      <c r="I72" s="1435">
        <f t="shared" si="28"/>
        <v>3668.4739474467101</v>
      </c>
      <c r="J72" s="1565">
        <f t="shared" si="29"/>
        <v>35975.44003672828</v>
      </c>
      <c r="K72" s="1552">
        <v>3668.47</v>
      </c>
      <c r="L72" s="1565">
        <v>35975.4</v>
      </c>
      <c r="M72" s="1277">
        <f t="shared" si="30"/>
        <v>1.0760459981040825E-6</v>
      </c>
      <c r="N72" s="1567">
        <f t="shared" si="31"/>
        <v>1.1128905786096116E-6</v>
      </c>
    </row>
    <row r="73" spans="3:14" x14ac:dyDescent="0.25">
      <c r="C73" s="1435">
        <v>999</v>
      </c>
      <c r="D73" s="1269" t="s">
        <v>110</v>
      </c>
      <c r="E73" s="1254">
        <f>C73*144/10000*(2.54*2.54)</f>
        <v>92.810136959999994</v>
      </c>
      <c r="F73" s="1435">
        <v>2005</v>
      </c>
      <c r="G73" s="1269" t="s">
        <v>56</v>
      </c>
      <c r="H73" s="1254">
        <f t="shared" si="32"/>
        <v>203156618.14854303</v>
      </c>
      <c r="I73" s="1435">
        <f t="shared" si="28"/>
        <v>1922674262.3318563</v>
      </c>
      <c r="J73" s="1565">
        <f t="shared" si="29"/>
        <v>18854993554.696697</v>
      </c>
      <c r="K73" s="1552">
        <v>1922674262</v>
      </c>
      <c r="L73" s="1565">
        <v>18854993555</v>
      </c>
      <c r="M73" s="1277">
        <f t="shared" si="30"/>
        <v>1.7260139029502471E-10</v>
      </c>
      <c r="N73" s="1567">
        <f t="shared" si="31"/>
        <v>-1.6086070992955959E-11</v>
      </c>
    </row>
    <row r="74" spans="3:14" ht="15.75" thickBot="1" x14ac:dyDescent="0.3">
      <c r="C74" s="1465">
        <v>667</v>
      </c>
      <c r="D74" s="1287" t="s">
        <v>111</v>
      </c>
      <c r="E74" s="1309">
        <f>C74/10000*(2.54*2.54)</f>
        <v>0.43032171999999996</v>
      </c>
      <c r="F74" s="1465">
        <v>3340</v>
      </c>
      <c r="G74" s="1287" t="s">
        <v>56</v>
      </c>
      <c r="H74" s="1309">
        <f t="shared" si="32"/>
        <v>338425488.58660036</v>
      </c>
      <c r="I74" s="1465">
        <f t="shared" si="28"/>
        <v>14850314.66815133</v>
      </c>
      <c r="J74" s="1609">
        <f t="shared" si="29"/>
        <v>145631838.34042624</v>
      </c>
      <c r="K74" s="1610">
        <v>14850315</v>
      </c>
      <c r="L74" s="1609">
        <v>145631838</v>
      </c>
      <c r="M74" s="1329">
        <f t="shared" si="30"/>
        <v>-2.2346238259104371E-8</v>
      </c>
      <c r="N74" s="1611">
        <f t="shared" si="31"/>
        <v>2.3375811242270635E-9</v>
      </c>
    </row>
    <row r="75" spans="3:14" ht="15.75" thickTop="1" x14ac:dyDescent="0.25">
      <c r="C75" s="311">
        <v>301</v>
      </c>
      <c r="D75" s="146" t="s">
        <v>104</v>
      </c>
      <c r="E75" s="147">
        <f>C75*100</f>
        <v>30100</v>
      </c>
      <c r="F75" s="311">
        <v>142</v>
      </c>
      <c r="G75" s="146" t="s">
        <v>57</v>
      </c>
      <c r="H75" s="147">
        <f>F75*100000</f>
        <v>14200000</v>
      </c>
      <c r="I75" s="311">
        <f t="shared" si="28"/>
        <v>43584710375.102608</v>
      </c>
      <c r="J75" s="344">
        <f t="shared" si="29"/>
        <v>427420000000</v>
      </c>
      <c r="K75" s="345">
        <v>43584710375</v>
      </c>
      <c r="L75" s="344">
        <v>427420000000</v>
      </c>
      <c r="M75" s="200">
        <f t="shared" si="30"/>
        <v>2.3542138095609563E-12</v>
      </c>
      <c r="N75" s="346">
        <f t="shared" si="31"/>
        <v>0</v>
      </c>
    </row>
    <row r="76" spans="3:14" x14ac:dyDescent="0.25">
      <c r="C76" s="310">
        <v>740</v>
      </c>
      <c r="D76" s="62" t="s">
        <v>105</v>
      </c>
      <c r="E76" s="34">
        <f>C76*4046.8564224</f>
        <v>2994673.7525760001</v>
      </c>
      <c r="F76" s="72">
        <v>560</v>
      </c>
      <c r="G76" s="62" t="s">
        <v>57</v>
      </c>
      <c r="H76" s="34">
        <f t="shared" ref="H76:H83" si="33">F76*100000</f>
        <v>56000000</v>
      </c>
      <c r="I76" s="310">
        <f t="shared" si="28"/>
        <v>17100817317254.721</v>
      </c>
      <c r="J76" s="333">
        <f t="shared" si="29"/>
        <v>167701730144256</v>
      </c>
      <c r="K76" s="327">
        <v>17100817317255</v>
      </c>
      <c r="L76" s="333">
        <v>167701730144256</v>
      </c>
      <c r="M76" s="155">
        <f t="shared" si="30"/>
        <v>-1.6332369957439958E-14</v>
      </c>
      <c r="N76" s="335">
        <f t="shared" si="31"/>
        <v>0</v>
      </c>
    </row>
    <row r="77" spans="3:14" ht="17.25" x14ac:dyDescent="0.25">
      <c r="C77" s="310">
        <v>844</v>
      </c>
      <c r="D77" s="62" t="s">
        <v>112</v>
      </c>
      <c r="E77" s="34">
        <f>C77/10000</f>
        <v>8.4400000000000003E-2</v>
      </c>
      <c r="F77" s="72">
        <v>5840</v>
      </c>
      <c r="G77" s="62" t="s">
        <v>57</v>
      </c>
      <c r="H77" s="34">
        <f t="shared" si="33"/>
        <v>584000000</v>
      </c>
      <c r="I77" s="310">
        <f t="shared" si="28"/>
        <v>5026140.4251196897</v>
      </c>
      <c r="J77" s="333">
        <f t="shared" si="29"/>
        <v>49289600</v>
      </c>
      <c r="K77" s="327">
        <v>5026140</v>
      </c>
      <c r="L77" s="333">
        <v>49289600</v>
      </c>
      <c r="M77" s="155">
        <f t="shared" si="30"/>
        <v>8.4581737418450894E-8</v>
      </c>
      <c r="N77" s="335">
        <f t="shared" si="31"/>
        <v>0</v>
      </c>
    </row>
    <row r="78" spans="3:14" ht="17.25" x14ac:dyDescent="0.25">
      <c r="C78" s="310">
        <v>3322</v>
      </c>
      <c r="D78" s="62" t="s">
        <v>107</v>
      </c>
      <c r="E78" s="34">
        <f>C78/100</f>
        <v>33.22</v>
      </c>
      <c r="F78" s="72">
        <v>7661</v>
      </c>
      <c r="G78" s="62" t="s">
        <v>57</v>
      </c>
      <c r="H78" s="34">
        <f t="shared" si="33"/>
        <v>766100000</v>
      </c>
      <c r="I78" s="310">
        <f t="shared" si="28"/>
        <v>2595161650.5126624</v>
      </c>
      <c r="J78" s="333">
        <f t="shared" si="29"/>
        <v>25449842000</v>
      </c>
      <c r="K78" s="327">
        <v>2595161651</v>
      </c>
      <c r="L78" s="333">
        <v>25449842000</v>
      </c>
      <c r="M78" s="155">
        <f t="shared" si="30"/>
        <v>-1.8778698782314568E-10</v>
      </c>
      <c r="N78" s="335">
        <f t="shared" si="31"/>
        <v>0</v>
      </c>
    </row>
    <row r="79" spans="3:14" x14ac:dyDescent="0.25">
      <c r="C79" s="310">
        <v>511</v>
      </c>
      <c r="D79" s="62" t="s">
        <v>108</v>
      </c>
      <c r="E79" s="34">
        <f>C79*10000</f>
        <v>5110000</v>
      </c>
      <c r="F79" s="72">
        <v>94</v>
      </c>
      <c r="G79" s="62" t="s">
        <v>57</v>
      </c>
      <c r="H79" s="34">
        <f t="shared" si="33"/>
        <v>9400000</v>
      </c>
      <c r="I79" s="310">
        <f t="shared" si="28"/>
        <v>4898104857418.1807</v>
      </c>
      <c r="J79" s="333">
        <f t="shared" si="29"/>
        <v>48034000000000</v>
      </c>
      <c r="K79" s="327">
        <v>4898104857418</v>
      </c>
      <c r="L79" s="333">
        <v>48034000000000</v>
      </c>
      <c r="M79" s="155">
        <f t="shared" si="30"/>
        <v>3.6884482419028711E-14</v>
      </c>
      <c r="N79" s="335">
        <f t="shared" si="31"/>
        <v>0</v>
      </c>
    </row>
    <row r="80" spans="3:14" ht="17.25" x14ac:dyDescent="0.25">
      <c r="C80" s="310">
        <v>123</v>
      </c>
      <c r="D80" s="62" t="s">
        <v>106</v>
      </c>
      <c r="E80" s="34">
        <f>C80</f>
        <v>123</v>
      </c>
      <c r="F80" s="310">
        <v>3863</v>
      </c>
      <c r="G80" s="62" t="s">
        <v>57</v>
      </c>
      <c r="H80" s="34">
        <f t="shared" si="33"/>
        <v>386300000</v>
      </c>
      <c r="I80" s="310">
        <f t="shared" si="28"/>
        <v>4845171388.8024969</v>
      </c>
      <c r="J80" s="333">
        <f t="shared" si="29"/>
        <v>47514900000</v>
      </c>
      <c r="K80" s="327">
        <v>4845171389</v>
      </c>
      <c r="L80" s="333">
        <v>47514900000</v>
      </c>
      <c r="M80" s="155">
        <f t="shared" si="30"/>
        <v>-4.0762869681189715E-11</v>
      </c>
      <c r="N80" s="335">
        <f t="shared" si="31"/>
        <v>0</v>
      </c>
    </row>
    <row r="81" spans="3:14" ht="17.25" x14ac:dyDescent="0.25">
      <c r="C81" s="310">
        <v>2.5</v>
      </c>
      <c r="D81" s="62" t="s">
        <v>109</v>
      </c>
      <c r="E81" s="34">
        <f>C81/1000000</f>
        <v>2.5000000000000002E-6</v>
      </c>
      <c r="F81" s="310">
        <v>44</v>
      </c>
      <c r="G81" s="62" t="s">
        <v>57</v>
      </c>
      <c r="H81" s="34">
        <f t="shared" si="33"/>
        <v>4400000</v>
      </c>
      <c r="I81" s="310">
        <f t="shared" si="28"/>
        <v>1.1216878342757213</v>
      </c>
      <c r="J81" s="333">
        <f t="shared" si="29"/>
        <v>11.000000000000002</v>
      </c>
      <c r="K81" s="327">
        <v>1.1216900000000001</v>
      </c>
      <c r="L81" s="333">
        <v>11</v>
      </c>
      <c r="M81" s="155">
        <f t="shared" si="30"/>
        <v>-1.9307727271557995E-6</v>
      </c>
      <c r="N81" s="335">
        <f t="shared" si="31"/>
        <v>1.6148698540002275E-16</v>
      </c>
    </row>
    <row r="82" spans="3:14" x14ac:dyDescent="0.25">
      <c r="C82" s="310">
        <v>4500</v>
      </c>
      <c r="D82" s="62" t="s">
        <v>110</v>
      </c>
      <c r="E82" s="34">
        <f>C82*144/10000*(2.54*2.54)</f>
        <v>418.06367999999998</v>
      </c>
      <c r="F82" s="310">
        <v>32</v>
      </c>
      <c r="G82" s="62" t="s">
        <v>57</v>
      </c>
      <c r="H82" s="34">
        <f t="shared" si="33"/>
        <v>3200000</v>
      </c>
      <c r="I82" s="310">
        <f t="shared" si="28"/>
        <v>136418020.01702926</v>
      </c>
      <c r="J82" s="333">
        <f t="shared" si="29"/>
        <v>1337803776</v>
      </c>
      <c r="K82" s="327">
        <v>136418020</v>
      </c>
      <c r="L82" s="333">
        <v>1337803776</v>
      </c>
      <c r="M82" s="155">
        <f t="shared" si="30"/>
        <v>1.2483142349126626E-10</v>
      </c>
      <c r="N82" s="335">
        <f t="shared" si="31"/>
        <v>0</v>
      </c>
    </row>
    <row r="83" spans="3:14" ht="15.75" thickBot="1" x14ac:dyDescent="0.3">
      <c r="C83" s="312">
        <v>944</v>
      </c>
      <c r="D83" s="63" t="s">
        <v>111</v>
      </c>
      <c r="E83" s="39">
        <f>C83/10000*(2.54*2.54)</f>
        <v>0.60903103999999997</v>
      </c>
      <c r="F83" s="312">
        <v>17</v>
      </c>
      <c r="G83" s="63" t="s">
        <v>57</v>
      </c>
      <c r="H83" s="39">
        <f t="shared" si="33"/>
        <v>1700000</v>
      </c>
      <c r="I83" s="312">
        <f t="shared" si="28"/>
        <v>105576.60036811755</v>
      </c>
      <c r="J83" s="347">
        <f t="shared" si="29"/>
        <v>1035352.7679999999</v>
      </c>
      <c r="K83" s="348">
        <v>105577</v>
      </c>
      <c r="L83" s="347">
        <v>1035353</v>
      </c>
      <c r="M83" s="176">
        <f t="shared" si="30"/>
        <v>-3.785231585945976E-6</v>
      </c>
      <c r="N83" s="349">
        <f t="shared" si="31"/>
        <v>-2.2407821493009084E-7</v>
      </c>
    </row>
    <row r="84" spans="3:14" ht="15.75" thickTop="1" x14ac:dyDescent="0.25">
      <c r="C84" s="414">
        <v>723</v>
      </c>
      <c r="D84" s="204" t="s">
        <v>104</v>
      </c>
      <c r="E84" s="205">
        <f>C84*100</f>
        <v>72300</v>
      </c>
      <c r="F84" s="414">
        <v>1125</v>
      </c>
      <c r="G84" s="204" t="s">
        <v>58</v>
      </c>
      <c r="H84" s="205">
        <f>F84*1000</f>
        <v>1125000</v>
      </c>
      <c r="I84" s="414">
        <f t="shared" si="28"/>
        <v>8294116747.3092241</v>
      </c>
      <c r="J84" s="857">
        <f t="shared" si="29"/>
        <v>81337500000</v>
      </c>
      <c r="K84" s="858">
        <v>8294116747</v>
      </c>
      <c r="L84" s="857">
        <v>81337500000</v>
      </c>
      <c r="M84" s="460">
        <f t="shared" si="30"/>
        <v>3.7282345805352088E-11</v>
      </c>
      <c r="N84" s="859">
        <f t="shared" si="31"/>
        <v>0</v>
      </c>
    </row>
    <row r="85" spans="3:14" x14ac:dyDescent="0.25">
      <c r="C85" s="412">
        <v>840</v>
      </c>
      <c r="D85" s="214" t="s">
        <v>105</v>
      </c>
      <c r="E85" s="215">
        <f>C85*4046.8564224</f>
        <v>3399359.394816</v>
      </c>
      <c r="F85" s="213">
        <v>87</v>
      </c>
      <c r="G85" s="214" t="s">
        <v>58</v>
      </c>
      <c r="H85" s="215">
        <f t="shared" ref="H85:H92" si="34">F85*1000</f>
        <v>87000</v>
      </c>
      <c r="I85" s="412">
        <f t="shared" si="28"/>
        <v>30157522431.10461</v>
      </c>
      <c r="J85" s="860">
        <f t="shared" si="29"/>
        <v>295744267348.992</v>
      </c>
      <c r="K85" s="435">
        <v>30157522431</v>
      </c>
      <c r="L85" s="860">
        <v>295744267349</v>
      </c>
      <c r="M85" s="221">
        <f t="shared" si="30"/>
        <v>3.4688009717714301E-12</v>
      </c>
      <c r="N85" s="861">
        <f t="shared" si="31"/>
        <v>-2.7035538306190778E-14</v>
      </c>
    </row>
    <row r="86" spans="3:14" ht="17.25" x14ac:dyDescent="0.25">
      <c r="C86" s="412">
        <v>611</v>
      </c>
      <c r="D86" s="214" t="s">
        <v>112</v>
      </c>
      <c r="E86" s="215">
        <f>C86/10000</f>
        <v>6.1100000000000002E-2</v>
      </c>
      <c r="F86" s="213">
        <v>637</v>
      </c>
      <c r="G86" s="214" t="s">
        <v>58</v>
      </c>
      <c r="H86" s="215">
        <f t="shared" si="34"/>
        <v>637000</v>
      </c>
      <c r="I86" s="412">
        <f t="shared" si="28"/>
        <v>3968.8068810450059</v>
      </c>
      <c r="J86" s="860">
        <f t="shared" si="29"/>
        <v>38920.700000000004</v>
      </c>
      <c r="K86" s="435">
        <v>3968.81</v>
      </c>
      <c r="L86" s="860">
        <v>38920.699999999997</v>
      </c>
      <c r="M86" s="221">
        <f t="shared" si="30"/>
        <v>-7.8586716047465329E-7</v>
      </c>
      <c r="N86" s="861">
        <f t="shared" si="31"/>
        <v>1.8694313345298067E-16</v>
      </c>
    </row>
    <row r="87" spans="3:14" ht="17.25" x14ac:dyDescent="0.25">
      <c r="C87" s="412">
        <v>320</v>
      </c>
      <c r="D87" s="214" t="s">
        <v>107</v>
      </c>
      <c r="E87" s="215">
        <f>C87/100</f>
        <v>3.2</v>
      </c>
      <c r="F87" s="213">
        <v>908</v>
      </c>
      <c r="G87" s="214" t="s">
        <v>58</v>
      </c>
      <c r="H87" s="215">
        <f t="shared" si="34"/>
        <v>908000</v>
      </c>
      <c r="I87" s="412">
        <f t="shared" si="28"/>
        <v>296288.74284286686</v>
      </c>
      <c r="J87" s="860">
        <f t="shared" si="29"/>
        <v>2905600</v>
      </c>
      <c r="K87" s="435">
        <v>296289</v>
      </c>
      <c r="L87" s="860">
        <v>2905600</v>
      </c>
      <c r="M87" s="221">
        <f t="shared" si="30"/>
        <v>-8.6792745032456093E-7</v>
      </c>
      <c r="N87" s="861">
        <f t="shared" si="31"/>
        <v>0</v>
      </c>
    </row>
    <row r="88" spans="3:14" x14ac:dyDescent="0.25">
      <c r="C88" s="412">
        <v>8811</v>
      </c>
      <c r="D88" s="214" t="s">
        <v>108</v>
      </c>
      <c r="E88" s="215">
        <f>C88*10000</f>
        <v>88110000</v>
      </c>
      <c r="F88" s="213">
        <v>897</v>
      </c>
      <c r="G88" s="214" t="s">
        <v>58</v>
      </c>
      <c r="H88" s="215">
        <f t="shared" si="34"/>
        <v>897000</v>
      </c>
      <c r="I88" s="412">
        <f t="shared" si="28"/>
        <v>8059293438636.0283</v>
      </c>
      <c r="J88" s="860">
        <f t="shared" si="29"/>
        <v>79034670000000</v>
      </c>
      <c r="K88" s="435">
        <v>8059293438636</v>
      </c>
      <c r="L88" s="860">
        <v>79034670000000</v>
      </c>
      <c r="M88" s="221">
        <f t="shared" si="30"/>
        <v>3.5139944606351235E-15</v>
      </c>
      <c r="N88" s="861">
        <f t="shared" si="31"/>
        <v>0</v>
      </c>
    </row>
    <row r="89" spans="3:14" ht="17.25" x14ac:dyDescent="0.25">
      <c r="C89" s="412">
        <v>246</v>
      </c>
      <c r="D89" s="214" t="s">
        <v>106</v>
      </c>
      <c r="E89" s="215">
        <f>C89</f>
        <v>246</v>
      </c>
      <c r="F89" s="412">
        <v>9</v>
      </c>
      <c r="G89" s="214" t="s">
        <v>58</v>
      </c>
      <c r="H89" s="215">
        <f t="shared" si="34"/>
        <v>9000</v>
      </c>
      <c r="I89" s="412">
        <f t="shared" si="28"/>
        <v>225765.16955331332</v>
      </c>
      <c r="J89" s="860">
        <f t="shared" si="29"/>
        <v>2214000</v>
      </c>
      <c r="K89" s="435">
        <v>225765</v>
      </c>
      <c r="L89" s="860">
        <v>2214000</v>
      </c>
      <c r="M89" s="221">
        <f t="shared" si="30"/>
        <v>7.5101626018078489E-7</v>
      </c>
      <c r="N89" s="861">
        <f t="shared" si="31"/>
        <v>0</v>
      </c>
    </row>
    <row r="90" spans="3:14" ht="17.25" x14ac:dyDescent="0.25">
      <c r="C90" s="412">
        <v>480</v>
      </c>
      <c r="D90" s="214" t="s">
        <v>109</v>
      </c>
      <c r="E90" s="215">
        <f>C90/1000000</f>
        <v>4.8000000000000001E-4</v>
      </c>
      <c r="F90" s="412">
        <v>5</v>
      </c>
      <c r="G90" s="214" t="s">
        <v>58</v>
      </c>
      <c r="H90" s="215">
        <f t="shared" si="34"/>
        <v>5000</v>
      </c>
      <c r="I90" s="412">
        <f t="shared" si="28"/>
        <v>0.24473189111470278</v>
      </c>
      <c r="J90" s="860">
        <f t="shared" si="29"/>
        <v>2.4</v>
      </c>
      <c r="K90" s="435">
        <v>0.24473200000000001</v>
      </c>
      <c r="L90" s="860">
        <v>2.4</v>
      </c>
      <c r="M90" s="221">
        <f t="shared" si="30"/>
        <v>-4.4491666667197577E-7</v>
      </c>
      <c r="N90" s="861">
        <f t="shared" si="31"/>
        <v>0</v>
      </c>
    </row>
    <row r="91" spans="3:14" x14ac:dyDescent="0.25">
      <c r="C91" s="412">
        <v>630</v>
      </c>
      <c r="D91" s="214" t="s">
        <v>110</v>
      </c>
      <c r="E91" s="215">
        <f>C91*144/10000*(2.54*2.54)</f>
        <v>58.528915199999993</v>
      </c>
      <c r="F91" s="412">
        <v>4511</v>
      </c>
      <c r="G91" s="214" t="s">
        <v>58</v>
      </c>
      <c r="H91" s="215">
        <f t="shared" si="34"/>
        <v>4511000</v>
      </c>
      <c r="I91" s="412">
        <f t="shared" si="28"/>
        <v>26922948.862985831</v>
      </c>
      <c r="J91" s="860">
        <f t="shared" si="29"/>
        <v>264023936.46719998</v>
      </c>
      <c r="K91" s="435">
        <v>26922949</v>
      </c>
      <c r="L91" s="860">
        <v>264023936</v>
      </c>
      <c r="M91" s="221">
        <f t="shared" si="30"/>
        <v>-5.0891219213482198E-9</v>
      </c>
      <c r="N91" s="861">
        <f t="shared" si="31"/>
        <v>1.7695364574289529E-9</v>
      </c>
    </row>
    <row r="92" spans="3:14" ht="15.75" thickBot="1" x14ac:dyDescent="0.3">
      <c r="C92" s="416">
        <v>570</v>
      </c>
      <c r="D92" s="440" t="s">
        <v>111</v>
      </c>
      <c r="E92" s="418">
        <f>C92/10000*(2.54*2.54)</f>
        <v>0.36774119999999999</v>
      </c>
      <c r="F92" s="416">
        <v>67</v>
      </c>
      <c r="G92" s="440" t="s">
        <v>58</v>
      </c>
      <c r="H92" s="418">
        <f t="shared" si="34"/>
        <v>67000</v>
      </c>
      <c r="I92" s="416">
        <f t="shared" si="28"/>
        <v>2512.4441475937247</v>
      </c>
      <c r="J92" s="862">
        <f t="shared" si="29"/>
        <v>24638.660400000001</v>
      </c>
      <c r="K92" s="863">
        <v>2512.44</v>
      </c>
      <c r="L92" s="862">
        <v>24638.7</v>
      </c>
      <c r="M92" s="673">
        <f t="shared" si="30"/>
        <v>1.6508202694108905E-6</v>
      </c>
      <c r="N92" s="864">
        <f t="shared" si="31"/>
        <v>-1.6072302372439058E-6</v>
      </c>
    </row>
    <row r="93" spans="3:14" ht="15.75" thickTop="1" x14ac:dyDescent="0.25">
      <c r="C93" s="1696">
        <v>650</v>
      </c>
      <c r="D93" s="1697" t="s">
        <v>104</v>
      </c>
      <c r="E93" s="1698">
        <f>C93*100</f>
        <v>65000</v>
      </c>
      <c r="F93" s="1696">
        <v>874</v>
      </c>
      <c r="G93" s="1697" t="s">
        <v>59</v>
      </c>
      <c r="H93" s="1698">
        <f>F93*9.80665</f>
        <v>8571.0120999999999</v>
      </c>
      <c r="I93" s="1696">
        <f t="shared" si="28"/>
        <v>56810000</v>
      </c>
      <c r="J93" s="1759">
        <f t="shared" si="29"/>
        <v>557115786.5</v>
      </c>
      <c r="K93" s="1760">
        <v>56810000</v>
      </c>
      <c r="L93" s="1759">
        <v>557115786</v>
      </c>
      <c r="M93" s="125">
        <f t="shared" si="30"/>
        <v>0</v>
      </c>
      <c r="N93" s="1761">
        <f t="shared" si="31"/>
        <v>8.9747950446922038E-10</v>
      </c>
    </row>
    <row r="94" spans="3:14" x14ac:dyDescent="0.25">
      <c r="C94" s="1683">
        <v>520</v>
      </c>
      <c r="D94" s="64" t="s">
        <v>105</v>
      </c>
      <c r="E94" s="1253">
        <f>C94*4046.8564224</f>
        <v>2104365.339648</v>
      </c>
      <c r="F94" s="1648">
        <v>65</v>
      </c>
      <c r="G94" s="64" t="s">
        <v>59</v>
      </c>
      <c r="H94" s="1253">
        <f t="shared" ref="H94:H101" si="35">F94*9.80665</f>
        <v>637.43224999999995</v>
      </c>
      <c r="I94" s="1683">
        <f t="shared" si="28"/>
        <v>136783747.07712001</v>
      </c>
      <c r="J94" s="1762">
        <f t="shared" si="29"/>
        <v>1341390333.2738388</v>
      </c>
      <c r="K94" s="1763">
        <v>136783747</v>
      </c>
      <c r="L94" s="1762">
        <v>1341390333</v>
      </c>
      <c r="M94" s="136">
        <f t="shared" si="30"/>
        <v>5.6380971959308239E-10</v>
      </c>
      <c r="N94" s="1764">
        <f t="shared" si="31"/>
        <v>2.0414546882881479E-10</v>
      </c>
    </row>
    <row r="95" spans="3:14" ht="17.25" x14ac:dyDescent="0.25">
      <c r="C95" s="1683">
        <v>840</v>
      </c>
      <c r="D95" s="64" t="s">
        <v>112</v>
      </c>
      <c r="E95" s="1253">
        <f>C95/10000</f>
        <v>8.4000000000000005E-2</v>
      </c>
      <c r="F95" s="1648">
        <v>187</v>
      </c>
      <c r="G95" s="64" t="s">
        <v>59</v>
      </c>
      <c r="H95" s="1253">
        <f t="shared" si="35"/>
        <v>1833.8435499999998</v>
      </c>
      <c r="I95" s="1683">
        <f t="shared" si="28"/>
        <v>15.707999999999998</v>
      </c>
      <c r="J95" s="1762">
        <f t="shared" si="29"/>
        <v>154.04285819999998</v>
      </c>
      <c r="K95" s="1763">
        <v>15.708</v>
      </c>
      <c r="L95" s="1762">
        <v>154.04300000000001</v>
      </c>
      <c r="M95" s="136">
        <f t="shared" si="30"/>
        <v>-1.1308612422970783E-16</v>
      </c>
      <c r="N95" s="1764">
        <f t="shared" si="31"/>
        <v>-9.2052303936567921E-7</v>
      </c>
    </row>
    <row r="96" spans="3:14" ht="17.25" x14ac:dyDescent="0.25">
      <c r="C96" s="1683">
        <v>12</v>
      </c>
      <c r="D96" s="64" t="s">
        <v>107</v>
      </c>
      <c r="E96" s="1253">
        <f>C96/100</f>
        <v>0.12</v>
      </c>
      <c r="F96" s="1648">
        <v>65</v>
      </c>
      <c r="G96" s="64" t="s">
        <v>59</v>
      </c>
      <c r="H96" s="1253">
        <f t="shared" si="35"/>
        <v>637.43224999999995</v>
      </c>
      <c r="I96" s="1683">
        <f t="shared" si="28"/>
        <v>7.8</v>
      </c>
      <c r="J96" s="1762">
        <f t="shared" si="29"/>
        <v>76.491869999999992</v>
      </c>
      <c r="K96" s="1763">
        <v>7.8</v>
      </c>
      <c r="L96" s="1762">
        <v>76.491900000000001</v>
      </c>
      <c r="M96" s="136">
        <f t="shared" si="30"/>
        <v>0</v>
      </c>
      <c r="N96" s="1764">
        <f t="shared" si="31"/>
        <v>-3.9219854357753855E-7</v>
      </c>
    </row>
    <row r="97" spans="3:14" x14ac:dyDescent="0.25">
      <c r="C97" s="1683">
        <v>91</v>
      </c>
      <c r="D97" s="64" t="s">
        <v>108</v>
      </c>
      <c r="E97" s="1253">
        <f>C97*10000</f>
        <v>910000</v>
      </c>
      <c r="F97" s="1683">
        <v>650</v>
      </c>
      <c r="G97" s="64" t="s">
        <v>59</v>
      </c>
      <c r="H97" s="1253">
        <f t="shared" si="35"/>
        <v>6374.3224999999993</v>
      </c>
      <c r="I97" s="1683">
        <f t="shared" si="28"/>
        <v>591499999.99999988</v>
      </c>
      <c r="J97" s="1762">
        <f t="shared" si="29"/>
        <v>5800633474.999999</v>
      </c>
      <c r="K97" s="1763">
        <v>591500000</v>
      </c>
      <c r="L97" s="1762">
        <v>5800633475</v>
      </c>
      <c r="M97" s="136">
        <f t="shared" si="30"/>
        <v>-2.0153726044088129E-16</v>
      </c>
      <c r="N97" s="1764">
        <f t="shared" si="31"/>
        <v>-1.6440864959257749E-16</v>
      </c>
    </row>
    <row r="98" spans="3:14" ht="17.25" x14ac:dyDescent="0.25">
      <c r="C98" s="1683">
        <v>1122</v>
      </c>
      <c r="D98" s="64" t="s">
        <v>106</v>
      </c>
      <c r="E98" s="1253">
        <f>C98</f>
        <v>1122</v>
      </c>
      <c r="F98" s="1683">
        <v>3311</v>
      </c>
      <c r="G98" s="64" t="s">
        <v>59</v>
      </c>
      <c r="H98" s="1253">
        <f t="shared" si="35"/>
        <v>32469.818149999999</v>
      </c>
      <c r="I98" s="1683">
        <f t="shared" si="28"/>
        <v>3714942</v>
      </c>
      <c r="J98" s="1762">
        <f t="shared" si="29"/>
        <v>36431135.964299999</v>
      </c>
      <c r="K98" s="1763">
        <v>3714942</v>
      </c>
      <c r="L98" s="1762">
        <v>36431136</v>
      </c>
      <c r="M98" s="136">
        <f t="shared" si="30"/>
        <v>0</v>
      </c>
      <c r="N98" s="1764">
        <f t="shared" si="31"/>
        <v>-9.7993103639501209E-10</v>
      </c>
    </row>
    <row r="99" spans="3:14" ht="17.25" x14ac:dyDescent="0.25">
      <c r="C99" s="1683">
        <v>76</v>
      </c>
      <c r="D99" s="64" t="s">
        <v>109</v>
      </c>
      <c r="E99" s="1253">
        <f>C99/1000000</f>
        <v>7.6000000000000004E-5</v>
      </c>
      <c r="F99" s="1683">
        <v>599</v>
      </c>
      <c r="G99" s="64" t="s">
        <v>59</v>
      </c>
      <c r="H99" s="1253">
        <f t="shared" si="35"/>
        <v>5874.1833499999993</v>
      </c>
      <c r="I99" s="1683">
        <f t="shared" si="28"/>
        <v>4.5524000000000002E-2</v>
      </c>
      <c r="J99" s="1762">
        <f t="shared" si="29"/>
        <v>0.44643793459999997</v>
      </c>
      <c r="K99" s="1763">
        <v>4.5524000000000002E-2</v>
      </c>
      <c r="L99" s="1762">
        <v>0.446438</v>
      </c>
      <c r="M99" s="136">
        <f t="shared" si="30"/>
        <v>0</v>
      </c>
      <c r="N99" s="1764">
        <f t="shared" si="31"/>
        <v>-1.4649292758966769E-7</v>
      </c>
    </row>
    <row r="100" spans="3:14" x14ac:dyDescent="0.25">
      <c r="C100" s="1683">
        <v>633</v>
      </c>
      <c r="D100" s="64" t="s">
        <v>110</v>
      </c>
      <c r="E100" s="1253">
        <f>C100*144/10000*(2.54*2.54)</f>
        <v>58.807624319999995</v>
      </c>
      <c r="F100" s="1683">
        <v>666</v>
      </c>
      <c r="G100" s="64" t="s">
        <v>59</v>
      </c>
      <c r="H100" s="1253">
        <f t="shared" si="35"/>
        <v>6531.2289000000001</v>
      </c>
      <c r="I100" s="1683">
        <f t="shared" si="28"/>
        <v>39165.877797120003</v>
      </c>
      <c r="J100" s="1762">
        <f t="shared" si="29"/>
        <v>384086.05549912684</v>
      </c>
      <c r="K100" s="1763">
        <v>39165.9</v>
      </c>
      <c r="L100" s="1762">
        <v>384086</v>
      </c>
      <c r="M100" s="136">
        <f t="shared" si="30"/>
        <v>-5.6689346050374724E-7</v>
      </c>
      <c r="N100" s="1764">
        <f t="shared" si="31"/>
        <v>1.4449659405499717E-7</v>
      </c>
    </row>
    <row r="101" spans="3:14" ht="15.75" thickBot="1" x14ac:dyDescent="0.3">
      <c r="C101" s="1753">
        <v>8</v>
      </c>
      <c r="D101" s="492" t="s">
        <v>111</v>
      </c>
      <c r="E101" s="1748">
        <f>C101/10000*(2.54*2.54)</f>
        <v>5.1612799999999999E-3</v>
      </c>
      <c r="F101" s="1753">
        <v>405</v>
      </c>
      <c r="G101" s="492" t="s">
        <v>59</v>
      </c>
      <c r="H101" s="1748">
        <f t="shared" si="35"/>
        <v>3971.6932499999998</v>
      </c>
      <c r="I101" s="1753">
        <f t="shared" si="28"/>
        <v>2.0903183999999997</v>
      </c>
      <c r="J101" s="1765">
        <f t="shared" si="29"/>
        <v>20.499020937359997</v>
      </c>
      <c r="K101" s="1766">
        <v>2.0903200000000002</v>
      </c>
      <c r="L101" s="1765">
        <v>20.498999999999999</v>
      </c>
      <c r="M101" s="1757">
        <f t="shared" si="30"/>
        <v>-7.6543362986715255E-7</v>
      </c>
      <c r="N101" s="1767">
        <f t="shared" si="31"/>
        <v>1.0213834144869707E-6</v>
      </c>
    </row>
    <row r="102" spans="3:14" ht="15.75" thickTop="1" x14ac:dyDescent="0.25">
      <c r="C102" s="1900">
        <v>52</v>
      </c>
      <c r="D102" s="1892" t="s">
        <v>104</v>
      </c>
      <c r="E102" s="1893">
        <f>C102*100</f>
        <v>5200</v>
      </c>
      <c r="F102" s="1900">
        <v>0.5</v>
      </c>
      <c r="G102" s="1892" t="s">
        <v>67</v>
      </c>
      <c r="H102" s="1893">
        <f>F102*1000000</f>
        <v>500000</v>
      </c>
      <c r="I102" s="1900">
        <f t="shared" si="28"/>
        <v>265126215.37426135</v>
      </c>
      <c r="J102" s="1901">
        <f t="shared" si="29"/>
        <v>2600000000</v>
      </c>
      <c r="K102" s="1902">
        <v>265126215</v>
      </c>
      <c r="L102" s="1901">
        <v>2600000000</v>
      </c>
      <c r="M102" s="1807">
        <f t="shared" si="30"/>
        <v>1.4116346394161765E-9</v>
      </c>
      <c r="N102" s="1903">
        <f t="shared" si="31"/>
        <v>0</v>
      </c>
    </row>
    <row r="103" spans="3:14" x14ac:dyDescent="0.25">
      <c r="C103" s="1841">
        <v>787</v>
      </c>
      <c r="D103" s="1797" t="s">
        <v>105</v>
      </c>
      <c r="E103" s="1798">
        <f>C103*4046.8564224</f>
        <v>3184876.0044288002</v>
      </c>
      <c r="F103" s="1796">
        <v>780</v>
      </c>
      <c r="G103" s="1797" t="s">
        <v>67</v>
      </c>
      <c r="H103" s="1798">
        <f t="shared" ref="H103:H110" si="36">F103*1000000</f>
        <v>780000000</v>
      </c>
      <c r="I103" s="1841">
        <f t="shared" si="28"/>
        <v>253318236447152.09</v>
      </c>
      <c r="J103" s="1904">
        <f t="shared" si="29"/>
        <v>2484203283454464</v>
      </c>
      <c r="K103" s="1905">
        <v>253318236447152</v>
      </c>
      <c r="L103" s="1906">
        <v>2484203283454460</v>
      </c>
      <c r="M103" s="1845">
        <f t="shared" si="30"/>
        <v>3.7008784410812984E-16</v>
      </c>
      <c r="N103" s="1907">
        <f t="shared" si="31"/>
        <v>1.6101741860825944E-15</v>
      </c>
    </row>
    <row r="104" spans="3:14" ht="17.25" x14ac:dyDescent="0.25">
      <c r="C104" s="1841">
        <v>223</v>
      </c>
      <c r="D104" s="1797" t="s">
        <v>112</v>
      </c>
      <c r="E104" s="1798">
        <f>C104/10000</f>
        <v>2.23E-2</v>
      </c>
      <c r="F104" s="1796">
        <v>560</v>
      </c>
      <c r="G104" s="1797" t="s">
        <v>67</v>
      </c>
      <c r="H104" s="1798">
        <f t="shared" si="36"/>
        <v>560000000</v>
      </c>
      <c r="I104" s="1841">
        <f t="shared" si="28"/>
        <v>1273421.606766837</v>
      </c>
      <c r="J104" s="1904">
        <f t="shared" si="29"/>
        <v>12488000</v>
      </c>
      <c r="K104" s="1905">
        <v>1273422</v>
      </c>
      <c r="L104" s="1904">
        <v>12488000</v>
      </c>
      <c r="M104" s="1845">
        <f t="shared" si="30"/>
        <v>-3.0880044830387852E-7</v>
      </c>
      <c r="N104" s="1907">
        <f t="shared" si="31"/>
        <v>0</v>
      </c>
    </row>
    <row r="105" spans="3:14" ht="17.25" x14ac:dyDescent="0.25">
      <c r="C105" s="1841">
        <v>5200</v>
      </c>
      <c r="D105" s="1797" t="s">
        <v>107</v>
      </c>
      <c r="E105" s="1798">
        <f>C105/100</f>
        <v>52</v>
      </c>
      <c r="F105" s="1796">
        <v>51</v>
      </c>
      <c r="G105" s="1797" t="s">
        <v>67</v>
      </c>
      <c r="H105" s="1798">
        <f t="shared" si="36"/>
        <v>51000000</v>
      </c>
      <c r="I105" s="1841">
        <f t="shared" si="28"/>
        <v>270428739.6817466</v>
      </c>
      <c r="J105" s="1904">
        <f t="shared" si="29"/>
        <v>2652000000</v>
      </c>
      <c r="K105" s="1905">
        <v>270428740</v>
      </c>
      <c r="L105" s="1904">
        <v>2652000000</v>
      </c>
      <c r="M105" s="1845">
        <f t="shared" si="30"/>
        <v>-1.176847543334799E-9</v>
      </c>
      <c r="N105" s="1907">
        <f t="shared" si="31"/>
        <v>0</v>
      </c>
    </row>
    <row r="106" spans="3:14" x14ac:dyDescent="0.25">
      <c r="C106" s="1796">
        <v>82</v>
      </c>
      <c r="D106" s="1797" t="s">
        <v>108</v>
      </c>
      <c r="E106" s="1798">
        <f>C106*10000</f>
        <v>820000</v>
      </c>
      <c r="F106" s="1796">
        <v>566</v>
      </c>
      <c r="G106" s="1797" t="s">
        <v>67</v>
      </c>
      <c r="H106" s="1798">
        <f t="shared" si="36"/>
        <v>566000000</v>
      </c>
      <c r="I106" s="1841">
        <f t="shared" si="28"/>
        <v>47327068876731.609</v>
      </c>
      <c r="J106" s="1904">
        <f t="shared" si="29"/>
        <v>464120000000000</v>
      </c>
      <c r="K106" s="1905">
        <v>47327068876732</v>
      </c>
      <c r="L106" s="1904">
        <v>464120000000000</v>
      </c>
      <c r="M106" s="1845">
        <f t="shared" si="30"/>
        <v>-8.2537332074678949E-15</v>
      </c>
      <c r="N106" s="1907">
        <f t="shared" si="31"/>
        <v>0</v>
      </c>
    </row>
    <row r="107" spans="3:14" ht="17.25" x14ac:dyDescent="0.25">
      <c r="C107" s="1796">
        <v>85</v>
      </c>
      <c r="D107" s="1797" t="s">
        <v>106</v>
      </c>
      <c r="E107" s="1798">
        <f>C107</f>
        <v>85</v>
      </c>
      <c r="F107" s="1796">
        <v>908</v>
      </c>
      <c r="G107" s="1797" t="s">
        <v>67</v>
      </c>
      <c r="H107" s="1798">
        <f t="shared" si="36"/>
        <v>908000000</v>
      </c>
      <c r="I107" s="1841">
        <f t="shared" si="28"/>
        <v>7870169731.7636509</v>
      </c>
      <c r="J107" s="1904">
        <f t="shared" si="29"/>
        <v>77180000000</v>
      </c>
      <c r="K107" s="1905">
        <v>7870169732</v>
      </c>
      <c r="L107" s="1904">
        <v>77180000000</v>
      </c>
      <c r="M107" s="1845">
        <f t="shared" si="30"/>
        <v>-3.0031004907183463E-11</v>
      </c>
      <c r="N107" s="1907">
        <f t="shared" si="31"/>
        <v>0</v>
      </c>
    </row>
    <row r="108" spans="3:14" ht="17.25" x14ac:dyDescent="0.25">
      <c r="C108" s="1796">
        <v>82</v>
      </c>
      <c r="D108" s="1797" t="s">
        <v>109</v>
      </c>
      <c r="E108" s="1798">
        <f>C108/1000000</f>
        <v>8.2000000000000001E-5</v>
      </c>
      <c r="F108" s="1796">
        <v>1255</v>
      </c>
      <c r="G108" s="1797" t="s">
        <v>67</v>
      </c>
      <c r="H108" s="1798">
        <f t="shared" si="36"/>
        <v>1255000000</v>
      </c>
      <c r="I108" s="1841">
        <f t="shared" si="28"/>
        <v>10493.89954775586</v>
      </c>
      <c r="J108" s="1904">
        <f t="shared" si="29"/>
        <v>102910</v>
      </c>
      <c r="K108" s="1905">
        <v>10493.9</v>
      </c>
      <c r="L108" s="1904">
        <v>102910</v>
      </c>
      <c r="M108" s="1845">
        <f t="shared" si="30"/>
        <v>-4.3095908957937447E-8</v>
      </c>
      <c r="N108" s="1907">
        <f t="shared" si="31"/>
        <v>0</v>
      </c>
    </row>
    <row r="109" spans="3:14" x14ac:dyDescent="0.25">
      <c r="C109" s="1796">
        <v>250</v>
      </c>
      <c r="D109" s="1797" t="s">
        <v>110</v>
      </c>
      <c r="E109" s="1798">
        <f>C109*144/10000*(2.54*2.54)</f>
        <v>23.225760000000001</v>
      </c>
      <c r="F109" s="1796">
        <v>677</v>
      </c>
      <c r="G109" s="1797" t="s">
        <v>67</v>
      </c>
      <c r="H109" s="1798">
        <f t="shared" si="36"/>
        <v>677000000</v>
      </c>
      <c r="I109" s="1841">
        <f t="shared" si="28"/>
        <v>1603385408.8807087</v>
      </c>
      <c r="J109" s="1904">
        <f t="shared" si="29"/>
        <v>15723839520</v>
      </c>
      <c r="K109" s="1905">
        <v>1603385409</v>
      </c>
      <c r="L109" s="1904">
        <v>15723839520</v>
      </c>
      <c r="M109" s="1845">
        <f t="shared" si="30"/>
        <v>-7.4399645201503399E-11</v>
      </c>
      <c r="N109" s="1907">
        <f t="shared" si="31"/>
        <v>0</v>
      </c>
    </row>
    <row r="110" spans="3:14" ht="15.75" thickBot="1" x14ac:dyDescent="0.3">
      <c r="C110" s="1908">
        <v>430</v>
      </c>
      <c r="D110" s="1909" t="s">
        <v>111</v>
      </c>
      <c r="E110" s="1910">
        <f>C110/10000*(2.54*2.54)</f>
        <v>0.27741879999999997</v>
      </c>
      <c r="F110" s="1908">
        <v>866</v>
      </c>
      <c r="G110" s="1909" t="s">
        <v>67</v>
      </c>
      <c r="H110" s="1910">
        <f t="shared" si="36"/>
        <v>866000000</v>
      </c>
      <c r="I110" s="1911">
        <f t="shared" si="28"/>
        <v>24498139.609346718</v>
      </c>
      <c r="J110" s="1912">
        <f t="shared" si="29"/>
        <v>240244680.79999998</v>
      </c>
      <c r="K110" s="1913">
        <v>24498140</v>
      </c>
      <c r="L110" s="1912">
        <v>240244681</v>
      </c>
      <c r="M110" s="1914">
        <f t="shared" si="30"/>
        <v>-1.5946242801837119E-8</v>
      </c>
      <c r="N110" s="1915">
        <f t="shared" si="31"/>
        <v>-8.324846869258695E-10</v>
      </c>
    </row>
    <row r="111" spans="3:14" ht="15.75" thickTop="1" x14ac:dyDescent="0.25">
      <c r="C111" s="1977">
        <v>1260</v>
      </c>
      <c r="D111" s="1978" t="s">
        <v>104</v>
      </c>
      <c r="E111" s="1993">
        <f>C111*100</f>
        <v>126000</v>
      </c>
      <c r="F111" s="1977">
        <v>89</v>
      </c>
      <c r="G111" s="1978" t="s">
        <v>61</v>
      </c>
      <c r="H111" s="1993">
        <f>F111</f>
        <v>89</v>
      </c>
      <c r="I111" s="1994">
        <f t="shared" si="28"/>
        <v>1143509.7612334487</v>
      </c>
      <c r="J111" s="1995">
        <f t="shared" si="29"/>
        <v>11214000</v>
      </c>
      <c r="K111" s="1996">
        <v>1143510</v>
      </c>
      <c r="L111" s="1995">
        <v>11214000</v>
      </c>
      <c r="M111" s="1997">
        <f t="shared" si="30"/>
        <v>-2.0880149811143364E-7</v>
      </c>
      <c r="N111" s="1998">
        <f t="shared" si="31"/>
        <v>0</v>
      </c>
    </row>
    <row r="112" spans="3:14" x14ac:dyDescent="0.25">
      <c r="C112" s="1938">
        <v>38</v>
      </c>
      <c r="D112" s="1939" t="s">
        <v>105</v>
      </c>
      <c r="E112" s="1940">
        <f>C112*4046.8564224</f>
        <v>153780.54405120001</v>
      </c>
      <c r="F112" s="1938">
        <v>5</v>
      </c>
      <c r="G112" s="1939" t="s">
        <v>61</v>
      </c>
      <c r="H112" s="1940">
        <f t="shared" ref="H112:H119" si="37">F112</f>
        <v>5</v>
      </c>
      <c r="I112" s="1980">
        <f t="shared" si="28"/>
        <v>78406.257004787578</v>
      </c>
      <c r="J112" s="1999">
        <f t="shared" si="29"/>
        <v>768902.72025600006</v>
      </c>
      <c r="K112" s="2000">
        <v>78406.3</v>
      </c>
      <c r="L112" s="1999">
        <v>768903</v>
      </c>
      <c r="M112" s="2001">
        <f t="shared" si="30"/>
        <v>-5.483645574662084E-7</v>
      </c>
      <c r="N112" s="2002">
        <f t="shared" si="31"/>
        <v>-3.638223569402069E-7</v>
      </c>
    </row>
    <row r="113" spans="3:14" ht="17.25" x14ac:dyDescent="0.25">
      <c r="C113" s="1938">
        <v>93276</v>
      </c>
      <c r="D113" s="1939" t="s">
        <v>112</v>
      </c>
      <c r="E113" s="1940">
        <f>C113/10000</f>
        <v>9.3276000000000003</v>
      </c>
      <c r="F113" s="1938">
        <v>21</v>
      </c>
      <c r="G113" s="1939" t="s">
        <v>61</v>
      </c>
      <c r="H113" s="1940">
        <f t="shared" si="37"/>
        <v>21</v>
      </c>
      <c r="I113" s="1980">
        <f t="shared" si="28"/>
        <v>19.974160391163142</v>
      </c>
      <c r="J113" s="1999">
        <f t="shared" si="29"/>
        <v>195.87960000000001</v>
      </c>
      <c r="K113" s="2000">
        <v>19.9742</v>
      </c>
      <c r="L113" s="1999">
        <v>195.88</v>
      </c>
      <c r="M113" s="2001">
        <f t="shared" si="30"/>
        <v>-1.9830038450587402E-6</v>
      </c>
      <c r="N113" s="2002">
        <f t="shared" si="31"/>
        <v>-2.042070741337316E-6</v>
      </c>
    </row>
    <row r="114" spans="3:14" ht="17.25" x14ac:dyDescent="0.25">
      <c r="C114" s="1938">
        <v>9</v>
      </c>
      <c r="D114" s="1939" t="s">
        <v>107</v>
      </c>
      <c r="E114" s="1940">
        <f>C114/100</f>
        <v>0.09</v>
      </c>
      <c r="F114" s="1938">
        <v>245</v>
      </c>
      <c r="G114" s="1939" t="s">
        <v>61</v>
      </c>
      <c r="H114" s="1940">
        <f t="shared" si="37"/>
        <v>245</v>
      </c>
      <c r="I114" s="1980">
        <f t="shared" si="28"/>
        <v>2.2484742496163319</v>
      </c>
      <c r="J114" s="1999">
        <f t="shared" si="29"/>
        <v>22.05</v>
      </c>
      <c r="K114" s="2000">
        <v>2.2484700000000002</v>
      </c>
      <c r="L114" s="1999">
        <v>22.05</v>
      </c>
      <c r="M114" s="2001">
        <f t="shared" si="30"/>
        <v>1.8899999999754237E-6</v>
      </c>
      <c r="N114" s="2002">
        <f t="shared" si="31"/>
        <v>0</v>
      </c>
    </row>
    <row r="115" spans="3:14" x14ac:dyDescent="0.25">
      <c r="C115" s="1938">
        <v>750</v>
      </c>
      <c r="D115" s="1939" t="s">
        <v>108</v>
      </c>
      <c r="E115" s="1940">
        <f>C115*10000</f>
        <v>7500000</v>
      </c>
      <c r="F115" s="1938">
        <v>12445</v>
      </c>
      <c r="G115" s="1939" t="s">
        <v>61</v>
      </c>
      <c r="H115" s="1940">
        <f t="shared" si="37"/>
        <v>12445</v>
      </c>
      <c r="I115" s="1980">
        <f t="shared" si="28"/>
        <v>9517776202.8827381</v>
      </c>
      <c r="J115" s="1999">
        <f t="shared" si="29"/>
        <v>93337500000</v>
      </c>
      <c r="K115" s="2000">
        <v>9517776203</v>
      </c>
      <c r="L115" s="1999">
        <v>93337500000</v>
      </c>
      <c r="M115" s="2001">
        <f t="shared" si="30"/>
        <v>-1.2320302988545106E-11</v>
      </c>
      <c r="N115" s="2002">
        <f t="shared" si="31"/>
        <v>0</v>
      </c>
    </row>
    <row r="116" spans="3:14" ht="17.25" x14ac:dyDescent="0.25">
      <c r="C116" s="1938">
        <v>520</v>
      </c>
      <c r="D116" s="1939" t="s">
        <v>106</v>
      </c>
      <c r="E116" s="1940">
        <f>C116</f>
        <v>520</v>
      </c>
      <c r="F116" s="1938">
        <v>6544</v>
      </c>
      <c r="G116" s="1939" t="s">
        <v>61</v>
      </c>
      <c r="H116" s="1940">
        <f t="shared" si="37"/>
        <v>6544</v>
      </c>
      <c r="I116" s="1980">
        <f t="shared" si="28"/>
        <v>346997.19068183325</v>
      </c>
      <c r="J116" s="1999">
        <f t="shared" si="29"/>
        <v>3402880</v>
      </c>
      <c r="K116" s="2000">
        <v>346997</v>
      </c>
      <c r="L116" s="1999">
        <v>3402880</v>
      </c>
      <c r="M116" s="2001">
        <f t="shared" si="30"/>
        <v>5.4951981851870782E-7</v>
      </c>
      <c r="N116" s="2002">
        <f t="shared" si="31"/>
        <v>0</v>
      </c>
    </row>
    <row r="117" spans="3:14" ht="17.25" x14ac:dyDescent="0.25">
      <c r="C117" s="1938">
        <v>1200</v>
      </c>
      <c r="D117" s="1939" t="s">
        <v>109</v>
      </c>
      <c r="E117" s="1940">
        <f>C117/1000000</f>
        <v>1.1999999999999999E-3</v>
      </c>
      <c r="F117" s="1938">
        <v>876</v>
      </c>
      <c r="G117" s="1939" t="s">
        <v>61</v>
      </c>
      <c r="H117" s="1940">
        <f t="shared" si="37"/>
        <v>876</v>
      </c>
      <c r="I117" s="1980">
        <f t="shared" si="28"/>
        <v>0.10719256830823981</v>
      </c>
      <c r="J117" s="1999">
        <f t="shared" si="29"/>
        <v>1.0511999999999999</v>
      </c>
      <c r="K117" s="2000">
        <v>0.107193</v>
      </c>
      <c r="L117" s="1999">
        <v>1.0511999999999999</v>
      </c>
      <c r="M117" s="2001">
        <f t="shared" si="30"/>
        <v>-4.0272545662365451E-6</v>
      </c>
      <c r="N117" s="2002">
        <f t="shared" si="31"/>
        <v>0</v>
      </c>
    </row>
    <row r="118" spans="3:14" x14ac:dyDescent="0.25">
      <c r="C118" s="1938">
        <v>620</v>
      </c>
      <c r="D118" s="1939" t="s">
        <v>110</v>
      </c>
      <c r="E118" s="1940">
        <f>C118*144/10000*(2.54*2.54)</f>
        <v>57.599884800000005</v>
      </c>
      <c r="F118" s="1938">
        <v>98</v>
      </c>
      <c r="G118" s="1939" t="s">
        <v>61</v>
      </c>
      <c r="H118" s="1940">
        <f t="shared" si="37"/>
        <v>98</v>
      </c>
      <c r="I118" s="1980">
        <f t="shared" si="28"/>
        <v>575.60825668296513</v>
      </c>
      <c r="J118" s="1999">
        <f t="shared" si="29"/>
        <v>5644.7887104000001</v>
      </c>
      <c r="K118" s="2000">
        <v>575.60799999999995</v>
      </c>
      <c r="L118" s="1999">
        <v>5644.79</v>
      </c>
      <c r="M118" s="2001">
        <f t="shared" si="30"/>
        <v>4.4593343164682816E-7</v>
      </c>
      <c r="N118" s="2002">
        <f t="shared" si="31"/>
        <v>-2.2845850677464446E-7</v>
      </c>
    </row>
    <row r="119" spans="3:14" ht="15.75" thickBot="1" x14ac:dyDescent="0.3">
      <c r="C119" s="1981">
        <v>7501</v>
      </c>
      <c r="D119" s="1945" t="s">
        <v>111</v>
      </c>
      <c r="E119" s="1948">
        <f>C119/10000*(2.54*2.54)</f>
        <v>4.8393451599999997</v>
      </c>
      <c r="F119" s="1981">
        <v>13</v>
      </c>
      <c r="G119" s="1945" t="s">
        <v>61</v>
      </c>
      <c r="H119" s="1948">
        <f t="shared" si="37"/>
        <v>13</v>
      </c>
      <c r="I119" s="1990">
        <f t="shared" si="28"/>
        <v>6.4151863358027459</v>
      </c>
      <c r="J119" s="2003">
        <f t="shared" si="29"/>
        <v>62.911487079999993</v>
      </c>
      <c r="K119" s="2004">
        <v>6.4151899999999999</v>
      </c>
      <c r="L119" s="2003">
        <v>62.911499999999997</v>
      </c>
      <c r="M119" s="1991">
        <f t="shared" si="30"/>
        <v>-5.711754986150755E-7</v>
      </c>
      <c r="N119" s="2005">
        <f t="shared" si="31"/>
        <v>-2.0536790024947367E-7</v>
      </c>
    </row>
    <row r="120" spans="3:14" ht="15.75" thickTop="1" x14ac:dyDescent="0.25">
      <c r="C120" s="2022">
        <v>890</v>
      </c>
      <c r="D120" s="2023" t="s">
        <v>104</v>
      </c>
      <c r="E120" s="2024">
        <f>C120*100</f>
        <v>89000</v>
      </c>
      <c r="F120" s="2022">
        <v>454</v>
      </c>
      <c r="G120" s="2023" t="s">
        <v>66</v>
      </c>
      <c r="H120" s="2024">
        <f>F120/0.0001450377</f>
        <v>3130220.6253960175</v>
      </c>
      <c r="I120" s="2025">
        <f t="shared" si="28"/>
        <v>28408236825.03664</v>
      </c>
      <c r="J120" s="2026">
        <f t="shared" si="29"/>
        <v>278589635660.24554</v>
      </c>
      <c r="K120" s="2027">
        <v>28408236825</v>
      </c>
      <c r="L120" s="2026">
        <v>278589635660</v>
      </c>
      <c r="M120" s="2028">
        <f t="shared" si="30"/>
        <v>1.2897726621328554E-12</v>
      </c>
      <c r="N120" s="2029">
        <f t="shared" si="31"/>
        <v>8.8138395031035589E-13</v>
      </c>
    </row>
    <row r="121" spans="3:14" x14ac:dyDescent="0.25">
      <c r="C121" s="2030">
        <v>435</v>
      </c>
      <c r="D121" s="1623" t="s">
        <v>105</v>
      </c>
      <c r="E121" s="1252">
        <f>C121*4046.8564224</f>
        <v>1760382.5437440001</v>
      </c>
      <c r="F121" s="2030">
        <v>686</v>
      </c>
      <c r="G121" s="1623" t="s">
        <v>66</v>
      </c>
      <c r="H121" s="1252">
        <f t="shared" ref="H121:H128" si="38">F121/0.0001450377</f>
        <v>4729804.7335279034</v>
      </c>
      <c r="I121" s="2031">
        <f t="shared" si="28"/>
        <v>849042811584.00317</v>
      </c>
      <c r="J121" s="2032">
        <f t="shared" si="29"/>
        <v>8326265688220.2637</v>
      </c>
      <c r="K121" s="2033">
        <v>849042811584</v>
      </c>
      <c r="L121" s="2032">
        <v>8326265688220</v>
      </c>
      <c r="M121" s="2034">
        <f t="shared" si="30"/>
        <v>3.7381249587153305E-15</v>
      </c>
      <c r="N121" s="2035">
        <f t="shared" si="31"/>
        <v>3.1667482743558685E-14</v>
      </c>
    </row>
    <row r="122" spans="3:14" ht="17.25" x14ac:dyDescent="0.25">
      <c r="C122" s="2030">
        <v>811</v>
      </c>
      <c r="D122" s="1623" t="s">
        <v>112</v>
      </c>
      <c r="E122" s="1252">
        <f>C122/10000</f>
        <v>8.1100000000000005E-2</v>
      </c>
      <c r="F122" s="2030">
        <v>980</v>
      </c>
      <c r="G122" s="1623" t="s">
        <v>66</v>
      </c>
      <c r="H122" s="1252">
        <f t="shared" si="38"/>
        <v>6756863.9050398618</v>
      </c>
      <c r="I122" s="2031">
        <f t="shared" ref="I122:I137" si="39">J122/9.80665</f>
        <v>55878.578586850032</v>
      </c>
      <c r="J122" s="2032">
        <f t="shared" ref="J122:J137" si="40">H122*E122</f>
        <v>547981.66269873281</v>
      </c>
      <c r="K122" s="2033">
        <v>55878.6</v>
      </c>
      <c r="L122" s="2032">
        <v>547982</v>
      </c>
      <c r="M122" s="2034">
        <f t="shared" ref="M122:M137" si="41" xml:space="preserve"> (I122-K122)/I122</f>
        <v>-3.832085659389683E-7</v>
      </c>
      <c r="N122" s="2035">
        <f t="shared" ref="N122:N137" si="42" xml:space="preserve"> (J122-L122)/J122</f>
        <v>-6.1553385843862042E-7</v>
      </c>
    </row>
    <row r="123" spans="3:14" ht="17.25" x14ac:dyDescent="0.25">
      <c r="C123" s="2030">
        <v>533</v>
      </c>
      <c r="D123" s="1623" t="s">
        <v>107</v>
      </c>
      <c r="E123" s="1252">
        <f>C123/100</f>
        <v>5.33</v>
      </c>
      <c r="F123" s="2030">
        <v>1312</v>
      </c>
      <c r="G123" s="1623" t="s">
        <v>66</v>
      </c>
      <c r="H123" s="1252">
        <f t="shared" si="38"/>
        <v>9045923.9218492843</v>
      </c>
      <c r="I123" s="2031">
        <f t="shared" si="39"/>
        <v>4916538.7266249629</v>
      </c>
      <c r="J123" s="2032">
        <f t="shared" si="40"/>
        <v>48214774.503456689</v>
      </c>
      <c r="K123" s="2033">
        <v>4916539</v>
      </c>
      <c r="L123" s="2032">
        <v>48214775</v>
      </c>
      <c r="M123" s="2034">
        <f t="shared" si="41"/>
        <v>-5.560314935501501E-8</v>
      </c>
      <c r="N123" s="2035">
        <f t="shared" si="42"/>
        <v>-1.0298571665974272E-8</v>
      </c>
    </row>
    <row r="124" spans="3:14" x14ac:dyDescent="0.25">
      <c r="C124" s="2030">
        <v>66</v>
      </c>
      <c r="D124" s="1623" t="s">
        <v>108</v>
      </c>
      <c r="E124" s="1252">
        <f>C124*10000</f>
        <v>660000</v>
      </c>
      <c r="F124" s="2030">
        <v>456</v>
      </c>
      <c r="G124" s="1623" t="s">
        <v>66</v>
      </c>
      <c r="H124" s="1252">
        <f t="shared" si="38"/>
        <v>3144010.1435695682</v>
      </c>
      <c r="I124" s="2031">
        <f t="shared" si="39"/>
        <v>211595875732.88687</v>
      </c>
      <c r="J124" s="2032">
        <f t="shared" si="40"/>
        <v>2075046694755.915</v>
      </c>
      <c r="K124" s="2033">
        <v>211595875733</v>
      </c>
      <c r="L124" s="2032">
        <v>2075046694756</v>
      </c>
      <c r="M124" s="2034">
        <f t="shared" si="41"/>
        <v>-5.3464492971585931E-13</v>
      </c>
      <c r="N124" s="2035">
        <f t="shared" si="42"/>
        <v>-4.0944108734860946E-14</v>
      </c>
    </row>
    <row r="125" spans="3:14" ht="17.25" x14ac:dyDescent="0.25">
      <c r="C125" s="2030">
        <v>844</v>
      </c>
      <c r="D125" s="1623" t="s">
        <v>106</v>
      </c>
      <c r="E125" s="1252">
        <f>C125</f>
        <v>844</v>
      </c>
      <c r="F125" s="2030">
        <v>68</v>
      </c>
      <c r="G125" s="1623" t="s">
        <v>66</v>
      </c>
      <c r="H125" s="1252">
        <f t="shared" si="38"/>
        <v>468843.6179007251</v>
      </c>
      <c r="I125" s="2031">
        <f t="shared" si="39"/>
        <v>40350579.811476089</v>
      </c>
      <c r="J125" s="2032">
        <f t="shared" si="40"/>
        <v>395704013.50821197</v>
      </c>
      <c r="K125" s="2033">
        <v>40350580</v>
      </c>
      <c r="L125" s="2032">
        <v>395704014</v>
      </c>
      <c r="M125" s="2034">
        <f t="shared" si="41"/>
        <v>-4.6721487478124281E-9</v>
      </c>
      <c r="N125" s="2035">
        <f t="shared" si="42"/>
        <v>-1.242817896413652E-9</v>
      </c>
    </row>
    <row r="126" spans="3:14" ht="17.25" x14ac:dyDescent="0.25">
      <c r="C126" s="2030">
        <v>2530</v>
      </c>
      <c r="D126" s="1623" t="s">
        <v>109</v>
      </c>
      <c r="E126" s="1252">
        <f>C126/1000000</f>
        <v>2.5300000000000001E-3</v>
      </c>
      <c r="F126" s="2030">
        <v>943</v>
      </c>
      <c r="G126" s="1623" t="s">
        <v>66</v>
      </c>
      <c r="H126" s="1252">
        <f t="shared" si="38"/>
        <v>6501757.8188291732</v>
      </c>
      <c r="I126" s="2031">
        <f t="shared" si="39"/>
        <v>1677.3768087611782</v>
      </c>
      <c r="J126" s="2032">
        <f t="shared" si="40"/>
        <v>16449.447281637807</v>
      </c>
      <c r="K126" s="2033">
        <v>1677.38</v>
      </c>
      <c r="L126" s="2032">
        <v>16449.400000000001</v>
      </c>
      <c r="M126" s="2034">
        <f t="shared" si="41"/>
        <v>-1.902517553174082E-6</v>
      </c>
      <c r="N126" s="2035">
        <f t="shared" si="42"/>
        <v>2.8743602746329573E-6</v>
      </c>
    </row>
    <row r="127" spans="3:14" x14ac:dyDescent="0.25">
      <c r="C127" s="2030">
        <v>229</v>
      </c>
      <c r="D127" s="1623" t="s">
        <v>110</v>
      </c>
      <c r="E127" s="1252">
        <f>C127*144/10000*(2.54*2.54)</f>
        <v>21.274796160000001</v>
      </c>
      <c r="F127" s="2030">
        <v>1513</v>
      </c>
      <c r="G127" s="1623" t="s">
        <v>66</v>
      </c>
      <c r="H127" s="1252">
        <f t="shared" si="38"/>
        <v>10431770.498291133</v>
      </c>
      <c r="I127" s="2031">
        <f t="shared" si="39"/>
        <v>22630948.482819874</v>
      </c>
      <c r="J127" s="2032">
        <f t="shared" si="40"/>
        <v>221933790.93904549</v>
      </c>
      <c r="K127" s="2033">
        <v>22630948</v>
      </c>
      <c r="L127" s="2032">
        <v>221933791</v>
      </c>
      <c r="M127" s="2034">
        <f t="shared" si="41"/>
        <v>2.133449573296259E-8</v>
      </c>
      <c r="N127" s="2035">
        <f t="shared" si="42"/>
        <v>-2.7465178199186513E-10</v>
      </c>
    </row>
    <row r="128" spans="3:14" ht="15.75" thickBot="1" x14ac:dyDescent="0.3">
      <c r="C128" s="2036">
        <v>22</v>
      </c>
      <c r="D128" s="2037" t="s">
        <v>111</v>
      </c>
      <c r="E128" s="2038">
        <f>C128/10000*(2.54*2.54)</f>
        <v>1.4193520000000001E-2</v>
      </c>
      <c r="F128" s="2036">
        <v>9670</v>
      </c>
      <c r="G128" s="2037" t="s">
        <v>66</v>
      </c>
      <c r="H128" s="2038">
        <f t="shared" si="38"/>
        <v>66672320.369117819</v>
      </c>
      <c r="I128" s="2039">
        <f t="shared" si="39"/>
        <v>96497.265896660043</v>
      </c>
      <c r="J128" s="2040">
        <f t="shared" si="40"/>
        <v>946314.91260548122</v>
      </c>
      <c r="K128" s="2041">
        <v>96497.3</v>
      </c>
      <c r="L128" s="2040">
        <v>946315</v>
      </c>
      <c r="M128" s="2042">
        <f t="shared" si="41"/>
        <v>-3.5341249975419353E-7</v>
      </c>
      <c r="N128" s="2043">
        <f t="shared" si="42"/>
        <v>-9.2352469155437335E-8</v>
      </c>
    </row>
    <row r="129" spans="3:14" ht="15.75" thickTop="1" x14ac:dyDescent="0.25">
      <c r="C129" s="2076">
        <v>555</v>
      </c>
      <c r="D129" s="2077" t="s">
        <v>104</v>
      </c>
      <c r="E129" s="2078">
        <f>C129*100</f>
        <v>55500</v>
      </c>
      <c r="F129" s="2076">
        <v>579</v>
      </c>
      <c r="G129" s="2077" t="s">
        <v>63</v>
      </c>
      <c r="H129" s="2078">
        <f>F129/0.007500616</f>
        <v>77193.659827406183</v>
      </c>
      <c r="I129" s="2079">
        <f t="shared" si="39"/>
        <v>436871726.88135535</v>
      </c>
      <c r="J129" s="2080">
        <f t="shared" si="40"/>
        <v>4284248120.4210434</v>
      </c>
      <c r="K129" s="2081">
        <v>436871727</v>
      </c>
      <c r="L129" s="2080">
        <v>4284248120</v>
      </c>
      <c r="M129" s="2082">
        <f t="shared" si="41"/>
        <v>-2.7157778233390974E-10</v>
      </c>
      <c r="N129" s="2083">
        <f t="shared" si="42"/>
        <v>9.8277080169370494E-11</v>
      </c>
    </row>
    <row r="130" spans="3:14" x14ac:dyDescent="0.25">
      <c r="C130" s="2084">
        <v>84</v>
      </c>
      <c r="D130" s="2085" t="s">
        <v>105</v>
      </c>
      <c r="E130" s="2086">
        <f>C130*4046.8564224</f>
        <v>339935.93948160001</v>
      </c>
      <c r="F130" s="2084">
        <v>5325</v>
      </c>
      <c r="G130" s="2085" t="s">
        <v>63</v>
      </c>
      <c r="H130" s="2086">
        <f t="shared" ref="H130:H137" si="43">F130/0.007500616</f>
        <v>709941.69012251799</v>
      </c>
      <c r="I130" s="2087">
        <f t="shared" si="39"/>
        <v>24609290166.259949</v>
      </c>
      <c r="J130" s="2088">
        <f t="shared" si="40"/>
        <v>241334695408.95309</v>
      </c>
      <c r="K130" s="2089">
        <v>24609290166</v>
      </c>
      <c r="L130" s="2088">
        <v>241334695409</v>
      </c>
      <c r="M130" s="2090">
        <f t="shared" si="41"/>
        <v>1.0563032444761339E-11</v>
      </c>
      <c r="N130" s="2091">
        <f t="shared" si="42"/>
        <v>-1.9435878251422313E-13</v>
      </c>
    </row>
    <row r="131" spans="3:14" ht="17.25" x14ac:dyDescent="0.25">
      <c r="C131" s="2084">
        <v>92</v>
      </c>
      <c r="D131" s="2085" t="s">
        <v>112</v>
      </c>
      <c r="E131" s="2086">
        <f>C131/10000</f>
        <v>9.1999999999999998E-3</v>
      </c>
      <c r="F131" s="2084">
        <v>8468</v>
      </c>
      <c r="G131" s="2085" t="s">
        <v>63</v>
      </c>
      <c r="H131" s="2086">
        <f t="shared" si="43"/>
        <v>1128973.9402737056</v>
      </c>
      <c r="I131" s="2087">
        <f t="shared" si="39"/>
        <v>1059.134388452539</v>
      </c>
      <c r="J131" s="2088">
        <f t="shared" si="40"/>
        <v>10386.560250518092</v>
      </c>
      <c r="K131" s="2089">
        <v>1059.1300000000001</v>
      </c>
      <c r="L131" s="2088">
        <v>10386.6</v>
      </c>
      <c r="M131" s="2090">
        <f t="shared" si="41"/>
        <v>4.1434331533176377E-6</v>
      </c>
      <c r="N131" s="2091">
        <f t="shared" si="42"/>
        <v>-3.8270111518480886E-6</v>
      </c>
    </row>
    <row r="132" spans="3:14" ht="17.25" x14ac:dyDescent="0.25">
      <c r="C132" s="2084">
        <v>54</v>
      </c>
      <c r="D132" s="2085" t="s">
        <v>107</v>
      </c>
      <c r="E132" s="2086">
        <f>C132/100</f>
        <v>0.54</v>
      </c>
      <c r="F132" s="2084">
        <v>89</v>
      </c>
      <c r="G132" s="2085" t="s">
        <v>63</v>
      </c>
      <c r="H132" s="2086">
        <f t="shared" si="43"/>
        <v>11865.692097822366</v>
      </c>
      <c r="I132" s="2087">
        <f t="shared" si="39"/>
        <v>653.38048495909186</v>
      </c>
      <c r="J132" s="2088">
        <f t="shared" si="40"/>
        <v>6407.4737328240781</v>
      </c>
      <c r="K132" s="2089">
        <v>653.38</v>
      </c>
      <c r="L132" s="2088">
        <v>6407.47</v>
      </c>
      <c r="M132" s="2090">
        <f t="shared" si="41"/>
        <v>7.4223075685252547E-7</v>
      </c>
      <c r="N132" s="2091">
        <f t="shared" si="42"/>
        <v>5.8257344992188268E-7</v>
      </c>
    </row>
    <row r="133" spans="3:14" x14ac:dyDescent="0.25">
      <c r="C133" s="2084">
        <v>811</v>
      </c>
      <c r="D133" s="2085" t="s">
        <v>108</v>
      </c>
      <c r="E133" s="2086">
        <f>C133*10000</f>
        <v>8110000</v>
      </c>
      <c r="F133" s="2084">
        <v>24</v>
      </c>
      <c r="G133" s="2085" t="s">
        <v>63</v>
      </c>
      <c r="H133" s="2086">
        <f t="shared" si="43"/>
        <v>3199.7371949183907</v>
      </c>
      <c r="I133" s="2087">
        <f t="shared" si="39"/>
        <v>2646150178.7856355</v>
      </c>
      <c r="J133" s="2088">
        <f t="shared" si="40"/>
        <v>25949868650.788151</v>
      </c>
      <c r="K133" s="2089">
        <v>2646150179</v>
      </c>
      <c r="L133" s="2088">
        <v>25949868651</v>
      </c>
      <c r="M133" s="2090">
        <f t="shared" si="41"/>
        <v>-8.1009963219238558E-11</v>
      </c>
      <c r="N133" s="2091">
        <f t="shared" si="42"/>
        <v>-8.163787474124656E-12</v>
      </c>
    </row>
    <row r="134" spans="3:14" ht="17.25" x14ac:dyDescent="0.25">
      <c r="C134" s="2084">
        <v>777</v>
      </c>
      <c r="D134" s="2085" t="s">
        <v>106</v>
      </c>
      <c r="E134" s="2086">
        <f>C134</f>
        <v>777</v>
      </c>
      <c r="F134" s="2084">
        <v>42</v>
      </c>
      <c r="G134" s="2085" t="s">
        <v>63</v>
      </c>
      <c r="H134" s="2086">
        <f t="shared" si="43"/>
        <v>5599.5400911071838</v>
      </c>
      <c r="I134" s="2087">
        <f t="shared" si="39"/>
        <v>443662.47911267169</v>
      </c>
      <c r="J134" s="2088">
        <f t="shared" si="40"/>
        <v>4350842.6507902816</v>
      </c>
      <c r="K134" s="2089">
        <v>443662</v>
      </c>
      <c r="L134" s="2088">
        <v>4350843</v>
      </c>
      <c r="M134" s="2090">
        <f t="shared" si="41"/>
        <v>1.0799035173008724E-6</v>
      </c>
      <c r="N134" s="2091">
        <f t="shared" si="42"/>
        <v>-8.0262548300332218E-8</v>
      </c>
    </row>
    <row r="135" spans="3:14" ht="17.25" x14ac:dyDescent="0.25">
      <c r="C135" s="2084">
        <v>500</v>
      </c>
      <c r="D135" s="2085" t="s">
        <v>109</v>
      </c>
      <c r="E135" s="2086">
        <f>C135/1000000</f>
        <v>5.0000000000000001E-4</v>
      </c>
      <c r="F135" s="2084">
        <v>57</v>
      </c>
      <c r="G135" s="2085" t="s">
        <v>63</v>
      </c>
      <c r="H135" s="2086">
        <f t="shared" si="43"/>
        <v>7599.3758379311785</v>
      </c>
      <c r="I135" s="2087">
        <f t="shared" si="39"/>
        <v>0.3874603375225576</v>
      </c>
      <c r="J135" s="2088">
        <f t="shared" si="40"/>
        <v>3.7996879189655894</v>
      </c>
      <c r="K135" s="2089">
        <v>0.38746000000000003</v>
      </c>
      <c r="L135" s="2088">
        <v>3.79969</v>
      </c>
      <c r="M135" s="2090">
        <f t="shared" si="41"/>
        <v>8.7111511781523025E-7</v>
      </c>
      <c r="N135" s="2091">
        <f t="shared" si="42"/>
        <v>-5.4768561391198277E-7</v>
      </c>
    </row>
    <row r="136" spans="3:14" x14ac:dyDescent="0.25">
      <c r="C136" s="2084">
        <v>1112</v>
      </c>
      <c r="D136" s="2085" t="s">
        <v>110</v>
      </c>
      <c r="E136" s="2086">
        <f>C136*144/10000*(2.54*2.54)</f>
        <v>103.30818047999999</v>
      </c>
      <c r="F136" s="2084">
        <v>67876</v>
      </c>
      <c r="G136" s="2085" t="s">
        <v>63</v>
      </c>
      <c r="H136" s="2086">
        <f t="shared" si="43"/>
        <v>9049390.0767616946</v>
      </c>
      <c r="I136" s="2087">
        <f t="shared" si="39"/>
        <v>95330823.806704447</v>
      </c>
      <c r="J136" s="2088">
        <f t="shared" si="40"/>
        <v>934876023.28401816</v>
      </c>
      <c r="K136" s="2089">
        <v>95330824</v>
      </c>
      <c r="L136" s="2088">
        <v>934876023</v>
      </c>
      <c r="M136" s="2090">
        <f t="shared" si="41"/>
        <v>-2.0276291089075077E-9</v>
      </c>
      <c r="N136" s="2091">
        <f t="shared" si="42"/>
        <v>3.038030196934178E-10</v>
      </c>
    </row>
    <row r="137" spans="3:14" ht="15.75" thickBot="1" x14ac:dyDescent="0.3">
      <c r="C137" s="2092">
        <v>10001</v>
      </c>
      <c r="D137" s="2093" t="s">
        <v>111</v>
      </c>
      <c r="E137" s="2094">
        <f>C137/10000*(2.54*2.54)</f>
        <v>6.4522451600000004</v>
      </c>
      <c r="F137" s="2092">
        <v>987</v>
      </c>
      <c r="G137" s="2093" t="s">
        <v>63</v>
      </c>
      <c r="H137" s="2094">
        <f t="shared" si="43"/>
        <v>131589.19214101881</v>
      </c>
      <c r="I137" s="2095">
        <f t="shared" si="39"/>
        <v>86578.569450342242</v>
      </c>
      <c r="J137" s="2096">
        <f t="shared" si="40"/>
        <v>849045.72810019867</v>
      </c>
      <c r="K137" s="2097">
        <v>86578.6</v>
      </c>
      <c r="L137" s="2096">
        <v>849046</v>
      </c>
      <c r="M137" s="2098">
        <f t="shared" si="41"/>
        <v>-3.528547301931946E-7</v>
      </c>
      <c r="N137" s="2099">
        <f t="shared" si="42"/>
        <v>-3.2024164580405476E-7</v>
      </c>
    </row>
    <row r="138" spans="3:14" ht="15.75" thickTop="1" x14ac:dyDescent="0.25"/>
  </sheetData>
  <mergeCells count="31">
    <mergeCell ref="C55:E55"/>
    <mergeCell ref="F55:H55"/>
    <mergeCell ref="I54:J54"/>
    <mergeCell ref="K54:L54"/>
    <mergeCell ref="M54:N54"/>
    <mergeCell ref="I55:J55"/>
    <mergeCell ref="K55:L55"/>
    <mergeCell ref="M55:N55"/>
    <mergeCell ref="AA31:AI31"/>
    <mergeCell ref="I32:Q32"/>
    <mergeCell ref="R32:Z32"/>
    <mergeCell ref="AA32:AI32"/>
    <mergeCell ref="C54:H54"/>
    <mergeCell ref="C31:H31"/>
    <mergeCell ref="C32:E32"/>
    <mergeCell ref="F32:H32"/>
    <mergeCell ref="I31:Q31"/>
    <mergeCell ref="R31:Z31"/>
    <mergeCell ref="R8:Z8"/>
    <mergeCell ref="AA8:AI8"/>
    <mergeCell ref="I9:Q9"/>
    <mergeCell ref="R9:Z9"/>
    <mergeCell ref="AA9:AI9"/>
    <mergeCell ref="C2:J2"/>
    <mergeCell ref="C4:E4"/>
    <mergeCell ref="H4:I4"/>
    <mergeCell ref="C8:H8"/>
    <mergeCell ref="C9:E9"/>
    <mergeCell ref="F9:H9"/>
    <mergeCell ref="I8:Q8"/>
    <mergeCell ref="E6:G6"/>
  </mergeCells>
  <conditionalFormatting sqref="AA11:AI28 AA34:AI51 M57:N137">
    <cfRule type="cellIs" dxfId="3" priority="1" operator="notBetween">
      <formula>-0.001</formula>
      <formula>0.001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AL86"/>
  <sheetViews>
    <sheetView zoomScaleNormal="100" workbookViewId="0">
      <selection activeCell="B2" sqref="B2"/>
    </sheetView>
  </sheetViews>
  <sheetFormatPr defaultColWidth="18.7109375" defaultRowHeight="15" x14ac:dyDescent="0.25"/>
  <cols>
    <col min="1" max="2" width="5.7109375" style="9" customWidth="1"/>
    <col min="3" max="3" width="12.7109375" style="9" customWidth="1"/>
    <col min="4" max="4" width="10.7109375" style="9" customWidth="1"/>
    <col min="5" max="5" width="18.7109375" style="9"/>
    <col min="6" max="6" width="12.7109375" style="9" customWidth="1"/>
    <col min="7" max="7" width="10.7109375" style="9" customWidth="1"/>
    <col min="8" max="8" width="18.7109375" style="9" customWidth="1"/>
    <col min="9" max="16384" width="18.7109375" style="9"/>
  </cols>
  <sheetData>
    <row r="2" spans="3:38" ht="21" x14ac:dyDescent="0.35">
      <c r="C2" s="2490" t="s">
        <v>26</v>
      </c>
      <c r="D2" s="2491"/>
      <c r="E2" s="2491"/>
      <c r="F2" s="2491"/>
      <c r="G2" s="2491"/>
      <c r="H2" s="2491"/>
      <c r="I2" s="2491"/>
      <c r="J2" s="2491"/>
    </row>
    <row r="3" spans="3:38" x14ac:dyDescent="0.25">
      <c r="R3" s="2137"/>
      <c r="S3" s="2137"/>
      <c r="T3" s="2137"/>
      <c r="U3" s="2137"/>
      <c r="V3" s="2137"/>
      <c r="W3" s="2137"/>
      <c r="X3" s="2137"/>
      <c r="Y3" s="2137"/>
      <c r="Z3" s="2137"/>
      <c r="AA3" s="2137"/>
      <c r="AB3" s="2137"/>
      <c r="AC3" s="2137"/>
      <c r="AD3" s="2137"/>
      <c r="AE3" s="2137"/>
      <c r="AF3" s="2137"/>
      <c r="AG3" s="2137"/>
      <c r="AH3" s="2137"/>
      <c r="AI3" s="2137"/>
      <c r="AJ3" s="2137"/>
      <c r="AK3" s="2137"/>
      <c r="AL3" s="2137"/>
    </row>
    <row r="4" spans="3:38" x14ac:dyDescent="0.25">
      <c r="C4" s="2501" t="s">
        <v>22</v>
      </c>
      <c r="D4" s="2502"/>
      <c r="E4" s="2503"/>
      <c r="F4" s="20"/>
      <c r="G4" s="20"/>
      <c r="H4" s="2501" t="s">
        <v>23</v>
      </c>
      <c r="I4" s="2503"/>
      <c r="R4" s="2137"/>
      <c r="S4" s="2137"/>
      <c r="T4" s="2137"/>
      <c r="U4" s="2137"/>
      <c r="V4" s="2137"/>
      <c r="W4" s="2137"/>
      <c r="X4" s="2137"/>
      <c r="Y4" s="2137"/>
      <c r="Z4" s="2137"/>
      <c r="AA4" s="2137"/>
      <c r="AB4" s="2137"/>
      <c r="AC4" s="2137"/>
      <c r="AD4" s="2137"/>
      <c r="AE4" s="2137"/>
      <c r="AF4" s="2137"/>
      <c r="AG4" s="2137"/>
      <c r="AH4" s="2137"/>
      <c r="AI4" s="2137"/>
      <c r="AJ4" s="2137"/>
      <c r="AK4" s="2137"/>
      <c r="AL4" s="2137"/>
    </row>
    <row r="5" spans="3:38" ht="15.75" thickBot="1" x14ac:dyDescent="0.3"/>
    <row r="6" spans="3:38" ht="19.5" thickBot="1" x14ac:dyDescent="0.35">
      <c r="E6" s="2497" t="s">
        <v>131</v>
      </c>
      <c r="F6" s="2498"/>
      <c r="G6" s="2499"/>
    </row>
    <row r="7" spans="3:38" ht="15.75" thickBot="1" x14ac:dyDescent="0.3"/>
    <row r="8" spans="3:38" ht="15.75" thickTop="1" x14ac:dyDescent="0.25">
      <c r="C8" s="2488" t="s">
        <v>0</v>
      </c>
      <c r="D8" s="2489"/>
      <c r="E8" s="2489"/>
      <c r="F8" s="2489"/>
      <c r="G8" s="2489"/>
      <c r="H8" s="2489"/>
      <c r="I8" s="2483" t="s">
        <v>158</v>
      </c>
      <c r="J8" s="2484"/>
      <c r="K8" s="2484"/>
      <c r="L8" s="2484"/>
      <c r="M8" s="2485"/>
      <c r="N8" s="2488" t="s">
        <v>16</v>
      </c>
      <c r="O8" s="2489"/>
      <c r="P8" s="2489"/>
      <c r="Q8" s="2489"/>
      <c r="R8" s="2489"/>
      <c r="S8" s="2483" t="s">
        <v>8</v>
      </c>
      <c r="T8" s="2484"/>
      <c r="U8" s="2484"/>
      <c r="V8" s="2484"/>
      <c r="W8" s="2485"/>
    </row>
    <row r="9" spans="3:38" ht="15.75" thickBot="1" x14ac:dyDescent="0.3">
      <c r="C9" s="2486" t="s">
        <v>144</v>
      </c>
      <c r="D9" s="2487"/>
      <c r="E9" s="2496"/>
      <c r="F9" s="2486" t="s">
        <v>143</v>
      </c>
      <c r="G9" s="2487"/>
      <c r="H9" s="2496"/>
      <c r="I9" s="2480" t="s">
        <v>155</v>
      </c>
      <c r="J9" s="2481"/>
      <c r="K9" s="2481"/>
      <c r="L9" s="2481"/>
      <c r="M9" s="2481"/>
      <c r="N9" s="2486" t="s">
        <v>155</v>
      </c>
      <c r="O9" s="2487"/>
      <c r="P9" s="2487"/>
      <c r="Q9" s="2487"/>
      <c r="R9" s="2487"/>
      <c r="S9" s="2480" t="s">
        <v>155</v>
      </c>
      <c r="T9" s="2481"/>
      <c r="U9" s="2481"/>
      <c r="V9" s="2481"/>
      <c r="W9" s="2482"/>
    </row>
    <row r="10" spans="3:38" ht="15.75" thickBot="1" x14ac:dyDescent="0.3">
      <c r="C10" s="82" t="s">
        <v>3</v>
      </c>
      <c r="D10" s="66" t="s">
        <v>4</v>
      </c>
      <c r="E10" s="807" t="s">
        <v>91</v>
      </c>
      <c r="F10" s="82" t="s">
        <v>3</v>
      </c>
      <c r="G10" s="66" t="s">
        <v>4</v>
      </c>
      <c r="H10" s="85" t="s">
        <v>87</v>
      </c>
      <c r="I10" s="86" t="s">
        <v>24</v>
      </c>
      <c r="J10" s="87" t="s">
        <v>19</v>
      </c>
      <c r="K10" s="87" t="s">
        <v>18</v>
      </c>
      <c r="L10" s="87" t="s">
        <v>20</v>
      </c>
      <c r="M10" s="88" t="s">
        <v>21</v>
      </c>
      <c r="N10" s="82" t="s">
        <v>24</v>
      </c>
      <c r="O10" s="83" t="s">
        <v>19</v>
      </c>
      <c r="P10" s="83" t="s">
        <v>18</v>
      </c>
      <c r="Q10" s="83" t="s">
        <v>20</v>
      </c>
      <c r="R10" s="85" t="s">
        <v>21</v>
      </c>
      <c r="S10" s="86" t="s">
        <v>24</v>
      </c>
      <c r="T10" s="87" t="s">
        <v>19</v>
      </c>
      <c r="U10" s="87" t="s">
        <v>18</v>
      </c>
      <c r="V10" s="87" t="s">
        <v>20</v>
      </c>
      <c r="W10" s="88" t="s">
        <v>21</v>
      </c>
    </row>
    <row r="11" spans="3:38" ht="15.75" thickTop="1" x14ac:dyDescent="0.25">
      <c r="C11" s="1051">
        <v>52</v>
      </c>
      <c r="D11" s="1052" t="s">
        <v>88</v>
      </c>
      <c r="E11" s="1055">
        <f>C11*1000</f>
        <v>52000</v>
      </c>
      <c r="F11" s="1051">
        <v>0.15</v>
      </c>
      <c r="G11" s="1052" t="s">
        <v>87</v>
      </c>
      <c r="H11" s="1055">
        <f>F11</f>
        <v>0.15</v>
      </c>
      <c r="I11" s="1168">
        <f>M11/0.74569987158227/1000</f>
        <v>10.459972298841221</v>
      </c>
      <c r="J11" s="1169">
        <f>M11/9.80665</f>
        <v>795.37864612278406</v>
      </c>
      <c r="K11" s="1169">
        <f>M11/1000</f>
        <v>7.8</v>
      </c>
      <c r="L11" s="1243">
        <f>M11*1000</f>
        <v>7800000</v>
      </c>
      <c r="M11" s="1235">
        <f>E11*H11</f>
        <v>7800</v>
      </c>
      <c r="N11" s="1168">
        <v>10.46</v>
      </c>
      <c r="O11" s="1169">
        <v>795.37900000000002</v>
      </c>
      <c r="P11" s="1169">
        <v>7.8</v>
      </c>
      <c r="Q11" s="1236">
        <v>7800000</v>
      </c>
      <c r="R11" s="1221">
        <v>7800</v>
      </c>
      <c r="S11" s="980">
        <f xml:space="preserve"> (I11-N11)/I11</f>
        <v>-2.648301351927632E-6</v>
      </c>
      <c r="T11" s="981">
        <f xml:space="preserve"> (J11-O11)/J11</f>
        <v>-4.4491666664964231E-7</v>
      </c>
      <c r="U11" s="981">
        <f xml:space="preserve"> (K11-P11)/K11</f>
        <v>0</v>
      </c>
      <c r="V11" s="981">
        <f xml:space="preserve"> (L11-Q11)/L11</f>
        <v>0</v>
      </c>
      <c r="W11" s="982">
        <f xml:space="preserve"> (M11-R11)/M11</f>
        <v>0</v>
      </c>
    </row>
    <row r="12" spans="3:38" x14ac:dyDescent="0.25">
      <c r="C12" s="1059">
        <v>78</v>
      </c>
      <c r="D12" s="59" t="s">
        <v>89</v>
      </c>
      <c r="E12" s="889">
        <f>C12/1000</f>
        <v>7.8E-2</v>
      </c>
      <c r="F12" s="1059">
        <v>4</v>
      </c>
      <c r="G12" s="59" t="s">
        <v>87</v>
      </c>
      <c r="H12" s="889">
        <f>F12</f>
        <v>4</v>
      </c>
      <c r="I12" s="921">
        <f t="shared" ref="I12:I30" si="0">M12/0.74569987158227/1000</f>
        <v>4.183988919536488E-4</v>
      </c>
      <c r="J12" s="895">
        <f t="shared" ref="J12:J30" si="1">M12/9.80665</f>
        <v>3.1815145844911366E-2</v>
      </c>
      <c r="K12" s="1147">
        <f t="shared" ref="K12:K30" si="2">M12/1000</f>
        <v>3.1199999999999999E-4</v>
      </c>
      <c r="L12" s="895">
        <f t="shared" ref="L12:L30" si="3">M12*1000</f>
        <v>312</v>
      </c>
      <c r="M12" s="819">
        <f t="shared" ref="M12:M30" si="4">E12*H12</f>
        <v>0.312</v>
      </c>
      <c r="N12" s="1059">
        <v>4.1839900000000002E-4</v>
      </c>
      <c r="O12" s="1060">
        <v>3.1815099999999999E-2</v>
      </c>
      <c r="P12" s="1060">
        <v>3.1199999999999999E-4</v>
      </c>
      <c r="Q12" s="1060">
        <v>312</v>
      </c>
      <c r="R12" s="889">
        <v>0.312</v>
      </c>
      <c r="S12" s="897">
        <f t="shared" ref="S12:S30" si="5" xml:space="preserve"> (I12-N12)/I12</f>
        <v>-2.5823766098565746E-7</v>
      </c>
      <c r="T12" s="898">
        <f t="shared" ref="T12:T30" si="6" xml:space="preserve"> (J12-O12)/J12</f>
        <v>1.4409775642910691E-6</v>
      </c>
      <c r="U12" s="898">
        <f t="shared" ref="U12:U30" si="7" xml:space="preserve"> (K12-P12)/K12</f>
        <v>0</v>
      </c>
      <c r="V12" s="898">
        <f t="shared" ref="V12:V30" si="8" xml:space="preserve"> (L12-Q12)/L12</f>
        <v>0</v>
      </c>
      <c r="W12" s="899">
        <f t="shared" ref="W12:W30" si="9" xml:space="preserve"> (M12-R12)/M12</f>
        <v>0</v>
      </c>
    </row>
    <row r="13" spans="3:38" x14ac:dyDescent="0.25">
      <c r="C13" s="1059">
        <v>80</v>
      </c>
      <c r="D13" s="59" t="s">
        <v>90</v>
      </c>
      <c r="E13" s="889">
        <f>C13*1000000</f>
        <v>80000000</v>
      </c>
      <c r="F13" s="1059">
        <v>3</v>
      </c>
      <c r="G13" s="59" t="s">
        <v>87</v>
      </c>
      <c r="H13" s="889">
        <f>F13</f>
        <v>3</v>
      </c>
      <c r="I13" s="926">
        <f t="shared" si="0"/>
        <v>321845.30150280677</v>
      </c>
      <c r="J13" s="895">
        <f t="shared" si="1"/>
        <v>24473189.111470278</v>
      </c>
      <c r="K13" s="901">
        <f t="shared" si="2"/>
        <v>240000</v>
      </c>
      <c r="L13" s="901">
        <f t="shared" si="3"/>
        <v>240000000000</v>
      </c>
      <c r="M13" s="904">
        <f t="shared" si="4"/>
        <v>240000000</v>
      </c>
      <c r="N13" s="1059">
        <v>321845</v>
      </c>
      <c r="O13" s="1060">
        <v>24473189</v>
      </c>
      <c r="P13" s="1060">
        <v>240000</v>
      </c>
      <c r="Q13" s="1060">
        <v>240000000000</v>
      </c>
      <c r="R13" s="889">
        <v>240000000</v>
      </c>
      <c r="S13" s="897">
        <f t="shared" si="5"/>
        <v>9.3679418455694581E-7</v>
      </c>
      <c r="T13" s="898">
        <f t="shared" si="6"/>
        <v>4.554791688356393E-9</v>
      </c>
      <c r="U13" s="898">
        <f t="shared" si="7"/>
        <v>0</v>
      </c>
      <c r="V13" s="898">
        <f t="shared" si="8"/>
        <v>0</v>
      </c>
      <c r="W13" s="899">
        <f t="shared" si="9"/>
        <v>0</v>
      </c>
    </row>
    <row r="14" spans="3:38" x14ac:dyDescent="0.25">
      <c r="C14" s="1059">
        <v>560</v>
      </c>
      <c r="D14" s="59" t="s">
        <v>91</v>
      </c>
      <c r="E14" s="889">
        <f>C14</f>
        <v>560</v>
      </c>
      <c r="F14" s="1059">
        <v>386</v>
      </c>
      <c r="G14" s="59" t="s">
        <v>87</v>
      </c>
      <c r="H14" s="889">
        <f>F14</f>
        <v>386</v>
      </c>
      <c r="I14" s="926">
        <f t="shared" si="0"/>
        <v>289.87533488686131</v>
      </c>
      <c r="J14" s="895">
        <f t="shared" si="1"/>
        <v>22042.185659730898</v>
      </c>
      <c r="K14" s="895">
        <f t="shared" si="2"/>
        <v>216.16</v>
      </c>
      <c r="L14" s="895">
        <f t="shared" si="3"/>
        <v>216160000</v>
      </c>
      <c r="M14" s="1237">
        <f t="shared" si="4"/>
        <v>216160</v>
      </c>
      <c r="N14" s="1059">
        <v>289.875</v>
      </c>
      <c r="O14" s="1060">
        <v>22042.2</v>
      </c>
      <c r="P14" s="1060">
        <v>216.16</v>
      </c>
      <c r="Q14" s="1060">
        <v>216160000</v>
      </c>
      <c r="R14" s="889">
        <v>216160</v>
      </c>
      <c r="S14" s="897">
        <f t="shared" si="5"/>
        <v>1.1552789113324554E-6</v>
      </c>
      <c r="T14" s="898">
        <f t="shared" si="6"/>
        <v>-6.5058290154182673E-7</v>
      </c>
      <c r="U14" s="898">
        <f t="shared" si="7"/>
        <v>0</v>
      </c>
      <c r="V14" s="898">
        <f t="shared" si="8"/>
        <v>0</v>
      </c>
      <c r="W14" s="899">
        <f t="shared" si="9"/>
        <v>0</v>
      </c>
    </row>
    <row r="15" spans="3:38" ht="15.75" thickBot="1" x14ac:dyDescent="0.3">
      <c r="C15" s="1064">
        <v>23</v>
      </c>
      <c r="D15" s="953" t="s">
        <v>92</v>
      </c>
      <c r="E15" s="954">
        <f>C15/1000000</f>
        <v>2.3E-5</v>
      </c>
      <c r="F15" s="1064">
        <v>0.5</v>
      </c>
      <c r="G15" s="953" t="s">
        <v>87</v>
      </c>
      <c r="H15" s="954">
        <f>F15</f>
        <v>0.5</v>
      </c>
      <c r="I15" s="1238">
        <f t="shared" si="0"/>
        <v>1.5421754030342823E-8</v>
      </c>
      <c r="J15" s="2165">
        <f t="shared" si="1"/>
        <v>1.1726736449246175E-6</v>
      </c>
      <c r="K15" s="2165">
        <f t="shared" si="2"/>
        <v>1.15E-8</v>
      </c>
      <c r="L15" s="2165">
        <f t="shared" si="3"/>
        <v>1.15E-2</v>
      </c>
      <c r="M15" s="1239">
        <f t="shared" si="4"/>
        <v>1.15E-5</v>
      </c>
      <c r="N15" s="2146">
        <v>1.54217540303428E-8</v>
      </c>
      <c r="O15" s="1119">
        <v>1.17267364492462E-6</v>
      </c>
      <c r="P15" s="1119">
        <v>1.15E-8</v>
      </c>
      <c r="Q15" s="1066">
        <v>1.15E-2</v>
      </c>
      <c r="R15" s="2147">
        <v>1.15E-5</v>
      </c>
      <c r="S15" s="911">
        <f t="shared" si="5"/>
        <v>1.5018432472671144E-15</v>
      </c>
      <c r="T15" s="912">
        <f t="shared" si="6"/>
        <v>-2.1669275614412307E-15</v>
      </c>
      <c r="U15" s="912">
        <f t="shared" si="7"/>
        <v>0</v>
      </c>
      <c r="V15" s="912">
        <f t="shared" si="8"/>
        <v>0</v>
      </c>
      <c r="W15" s="913">
        <f t="shared" si="9"/>
        <v>0</v>
      </c>
    </row>
    <row r="16" spans="3:38" ht="15.75" thickTop="1" x14ac:dyDescent="0.25">
      <c r="C16" s="1431">
        <v>34</v>
      </c>
      <c r="D16" s="1333" t="s">
        <v>88</v>
      </c>
      <c r="E16" s="1370">
        <f>C16*1000</f>
        <v>34000</v>
      </c>
      <c r="F16" s="1431">
        <v>3</v>
      </c>
      <c r="G16" s="1333" t="s">
        <v>97</v>
      </c>
      <c r="H16" s="1334">
        <f>F16*1000</f>
        <v>3000</v>
      </c>
      <c r="I16" s="1539">
        <f t="shared" si="0"/>
        <v>136784.25313869287</v>
      </c>
      <c r="J16" s="1540">
        <f t="shared" si="1"/>
        <v>10401105.372374868</v>
      </c>
      <c r="K16" s="1340">
        <f t="shared" si="2"/>
        <v>102000</v>
      </c>
      <c r="L16" s="1614">
        <f t="shared" si="3"/>
        <v>102000000000</v>
      </c>
      <c r="M16" s="1573">
        <f t="shared" si="4"/>
        <v>102000000</v>
      </c>
      <c r="N16" s="1431">
        <v>136784</v>
      </c>
      <c r="O16" s="1442">
        <v>10401105</v>
      </c>
      <c r="P16" s="1442">
        <v>102000</v>
      </c>
      <c r="Q16" s="1442">
        <v>102000000000</v>
      </c>
      <c r="R16" s="1370">
        <v>102000000</v>
      </c>
      <c r="S16" s="1265">
        <f t="shared" si="5"/>
        <v>1.8506420663660472E-6</v>
      </c>
      <c r="T16" s="1266">
        <f t="shared" si="6"/>
        <v>3.5801470583062801E-8</v>
      </c>
      <c r="U16" s="1266">
        <f t="shared" si="7"/>
        <v>0</v>
      </c>
      <c r="V16" s="1266">
        <f t="shared" si="8"/>
        <v>0</v>
      </c>
      <c r="W16" s="1267">
        <f t="shared" si="9"/>
        <v>0</v>
      </c>
    </row>
    <row r="17" spans="3:23" x14ac:dyDescent="0.25">
      <c r="C17" s="1435">
        <v>34</v>
      </c>
      <c r="D17" s="1269" t="s">
        <v>89</v>
      </c>
      <c r="E17" s="1270">
        <f>C17/1000</f>
        <v>3.4000000000000002E-2</v>
      </c>
      <c r="F17" s="1435">
        <v>477</v>
      </c>
      <c r="G17" s="1269" t="s">
        <v>97</v>
      </c>
      <c r="H17" s="1254">
        <f>F17*1000</f>
        <v>477000</v>
      </c>
      <c r="I17" s="1281">
        <f t="shared" si="0"/>
        <v>21.748696249052173</v>
      </c>
      <c r="J17" s="1284">
        <f t="shared" si="1"/>
        <v>1653.7757542076042</v>
      </c>
      <c r="K17" s="1284">
        <f t="shared" si="2"/>
        <v>16.218000000000004</v>
      </c>
      <c r="L17" s="1272">
        <f t="shared" si="3"/>
        <v>16218000.000000002</v>
      </c>
      <c r="M17" s="1612">
        <f t="shared" si="4"/>
        <v>16218.000000000002</v>
      </c>
      <c r="N17" s="1435">
        <v>21.748699999999999</v>
      </c>
      <c r="O17" s="1446">
        <v>1653.78</v>
      </c>
      <c r="P17" s="1446">
        <v>16.218</v>
      </c>
      <c r="Q17" s="1446">
        <v>16218000</v>
      </c>
      <c r="R17" s="1270">
        <v>16218</v>
      </c>
      <c r="S17" s="1277">
        <f t="shared" si="5"/>
        <v>-1.7246770947400693E-7</v>
      </c>
      <c r="T17" s="1278">
        <f t="shared" si="6"/>
        <v>-2.5673325932779212E-6</v>
      </c>
      <c r="U17" s="1278">
        <f t="shared" si="7"/>
        <v>2.1905991360220126E-16</v>
      </c>
      <c r="V17" s="1278">
        <f t="shared" si="8"/>
        <v>1.1485048398267092E-16</v>
      </c>
      <c r="W17" s="1279">
        <f t="shared" si="9"/>
        <v>1.1215867576432706E-16</v>
      </c>
    </row>
    <row r="18" spans="3:23" x14ac:dyDescent="0.25">
      <c r="C18" s="1435">
        <v>2E-3</v>
      </c>
      <c r="D18" s="1269" t="s">
        <v>90</v>
      </c>
      <c r="E18" s="1270">
        <f>C18*1000000</f>
        <v>2000</v>
      </c>
      <c r="F18" s="1435">
        <v>120</v>
      </c>
      <c r="G18" s="1269" t="s">
        <v>97</v>
      </c>
      <c r="H18" s="1254">
        <f>F18*1000</f>
        <v>120000</v>
      </c>
      <c r="I18" s="1281">
        <f t="shared" si="0"/>
        <v>321845.30150280677</v>
      </c>
      <c r="J18" s="1284">
        <f t="shared" si="1"/>
        <v>24473189.111470278</v>
      </c>
      <c r="K18" s="1284">
        <f t="shared" si="2"/>
        <v>240000</v>
      </c>
      <c r="L18" s="1272">
        <f t="shared" si="3"/>
        <v>240000000000</v>
      </c>
      <c r="M18" s="1574">
        <f t="shared" si="4"/>
        <v>240000000</v>
      </c>
      <c r="N18" s="1435">
        <v>321845</v>
      </c>
      <c r="O18" s="1446">
        <v>24473189</v>
      </c>
      <c r="P18" s="1446">
        <v>240000</v>
      </c>
      <c r="Q18" s="1446">
        <v>240000000000</v>
      </c>
      <c r="R18" s="1270">
        <v>240000000</v>
      </c>
      <c r="S18" s="1277">
        <f t="shared" si="5"/>
        <v>9.3679418455694581E-7</v>
      </c>
      <c r="T18" s="1278">
        <f t="shared" si="6"/>
        <v>4.554791688356393E-9</v>
      </c>
      <c r="U18" s="1278">
        <f t="shared" si="7"/>
        <v>0</v>
      </c>
      <c r="V18" s="1278">
        <f t="shared" si="8"/>
        <v>0</v>
      </c>
      <c r="W18" s="1279">
        <f t="shared" si="9"/>
        <v>0</v>
      </c>
    </row>
    <row r="19" spans="3:23" x14ac:dyDescent="0.25">
      <c r="C19" s="1435">
        <v>123</v>
      </c>
      <c r="D19" s="1269" t="s">
        <v>91</v>
      </c>
      <c r="E19" s="1270">
        <f>C19</f>
        <v>123</v>
      </c>
      <c r="F19" s="1435">
        <v>56</v>
      </c>
      <c r="G19" s="1269" t="s">
        <v>97</v>
      </c>
      <c r="H19" s="1254">
        <f>F19*1000</f>
        <v>56000</v>
      </c>
      <c r="I19" s="1281">
        <f t="shared" si="0"/>
        <v>9236.9601531305561</v>
      </c>
      <c r="J19" s="1284">
        <f t="shared" si="1"/>
        <v>702380.52749919705</v>
      </c>
      <c r="K19" s="1284">
        <f t="shared" si="2"/>
        <v>6888</v>
      </c>
      <c r="L19" s="1272">
        <f t="shared" si="3"/>
        <v>6888000000</v>
      </c>
      <c r="M19" s="1612">
        <f t="shared" si="4"/>
        <v>6888000</v>
      </c>
      <c r="N19" s="1435">
        <v>9236.9599999999991</v>
      </c>
      <c r="O19" s="1446">
        <v>702381</v>
      </c>
      <c r="P19" s="1446">
        <v>6888</v>
      </c>
      <c r="Q19" s="1446">
        <v>6888000000</v>
      </c>
      <c r="R19" s="1270">
        <v>6888000</v>
      </c>
      <c r="S19" s="1277">
        <f t="shared" si="5"/>
        <v>1.6578025072222383E-8</v>
      </c>
      <c r="T19" s="1278">
        <f t="shared" si="6"/>
        <v>-6.7271341452388299E-7</v>
      </c>
      <c r="U19" s="1278">
        <f t="shared" si="7"/>
        <v>0</v>
      </c>
      <c r="V19" s="1278">
        <f t="shared" si="8"/>
        <v>0</v>
      </c>
      <c r="W19" s="1279">
        <f t="shared" si="9"/>
        <v>0</v>
      </c>
    </row>
    <row r="20" spans="3:23" ht="15.75" thickBot="1" x14ac:dyDescent="0.3">
      <c r="C20" s="1440">
        <v>890</v>
      </c>
      <c r="D20" s="1348" t="s">
        <v>92</v>
      </c>
      <c r="E20" s="1375">
        <f>C20/1000000</f>
        <v>8.8999999999999995E-4</v>
      </c>
      <c r="F20" s="1440">
        <v>2200</v>
      </c>
      <c r="G20" s="1348" t="s">
        <v>97</v>
      </c>
      <c r="H20" s="1351">
        <f>F20*1000</f>
        <v>2200000</v>
      </c>
      <c r="I20" s="1613">
        <f t="shared" si="0"/>
        <v>2.6257212514270654</v>
      </c>
      <c r="J20" s="1558">
        <f t="shared" si="1"/>
        <v>199.66043450107836</v>
      </c>
      <c r="K20" s="1558">
        <f t="shared" si="2"/>
        <v>1.958</v>
      </c>
      <c r="L20" s="1617">
        <f t="shared" si="3"/>
        <v>1958000</v>
      </c>
      <c r="M20" s="1378">
        <f t="shared" si="4"/>
        <v>1958</v>
      </c>
      <c r="N20" s="1440">
        <v>2.6257199999999998</v>
      </c>
      <c r="O20" s="1451">
        <v>199.66</v>
      </c>
      <c r="P20" s="1451">
        <v>1.958</v>
      </c>
      <c r="Q20" s="1451">
        <v>1958000</v>
      </c>
      <c r="R20" s="1375">
        <v>1958</v>
      </c>
      <c r="S20" s="1296">
        <f t="shared" si="5"/>
        <v>4.766031675484799E-7</v>
      </c>
      <c r="T20" s="1297">
        <f t="shared" si="6"/>
        <v>2.1762002043382833E-6</v>
      </c>
      <c r="U20" s="1297">
        <f t="shared" si="7"/>
        <v>0</v>
      </c>
      <c r="V20" s="1297">
        <f t="shared" si="8"/>
        <v>0</v>
      </c>
      <c r="W20" s="1298">
        <f t="shared" si="9"/>
        <v>0</v>
      </c>
    </row>
    <row r="21" spans="3:23" ht="15.75" thickTop="1" x14ac:dyDescent="0.25">
      <c r="C21" s="1900">
        <v>52</v>
      </c>
      <c r="D21" s="1892" t="s">
        <v>88</v>
      </c>
      <c r="E21" s="2425">
        <f>C21*1000</f>
        <v>52000</v>
      </c>
      <c r="F21" s="1900">
        <v>1866</v>
      </c>
      <c r="G21" s="1892" t="s">
        <v>98</v>
      </c>
      <c r="H21" s="1893">
        <f>F21/1000</f>
        <v>1.8660000000000001</v>
      </c>
      <c r="I21" s="2466">
        <f t="shared" si="0"/>
        <v>130.12205539758477</v>
      </c>
      <c r="J21" s="1802">
        <f t="shared" si="1"/>
        <v>9894.5103577674345</v>
      </c>
      <c r="K21" s="1802">
        <f t="shared" si="2"/>
        <v>97.031999999999996</v>
      </c>
      <c r="L21" s="2467">
        <f t="shared" si="3"/>
        <v>97032000</v>
      </c>
      <c r="M21" s="2468">
        <f t="shared" si="4"/>
        <v>97032</v>
      </c>
      <c r="N21" s="1900">
        <v>130.12200000000001</v>
      </c>
      <c r="O21" s="2427">
        <v>9894.51</v>
      </c>
      <c r="P21" s="2427">
        <v>97.031999999999996</v>
      </c>
      <c r="Q21" s="2427">
        <v>97032000</v>
      </c>
      <c r="R21" s="2425">
        <v>97032</v>
      </c>
      <c r="S21" s="1807">
        <f t="shared" si="5"/>
        <v>4.2573554952086851E-7</v>
      </c>
      <c r="T21" s="1808">
        <f t="shared" si="6"/>
        <v>3.6158174716695641E-8</v>
      </c>
      <c r="U21" s="1808">
        <f t="shared" si="7"/>
        <v>0</v>
      </c>
      <c r="V21" s="1808">
        <f t="shared" si="8"/>
        <v>0</v>
      </c>
      <c r="W21" s="1809">
        <f t="shared" si="9"/>
        <v>0</v>
      </c>
    </row>
    <row r="22" spans="3:23" x14ac:dyDescent="0.25">
      <c r="C22" s="1841">
        <v>667</v>
      </c>
      <c r="D22" s="1797" t="s">
        <v>89</v>
      </c>
      <c r="E22" s="1800">
        <f>C22/1000</f>
        <v>0.66700000000000004</v>
      </c>
      <c r="F22" s="1841">
        <v>1333</v>
      </c>
      <c r="G22" s="1797" t="s">
        <v>98</v>
      </c>
      <c r="H22" s="1798">
        <f>F22/1000</f>
        <v>1.333</v>
      </c>
      <c r="I22" s="2379">
        <f t="shared" si="0"/>
        <v>1.1923174911019252E-3</v>
      </c>
      <c r="J22" s="1899">
        <f t="shared" si="1"/>
        <v>9.0664090183701876E-2</v>
      </c>
      <c r="K22" s="1899">
        <f t="shared" si="2"/>
        <v>8.8911099999999994E-4</v>
      </c>
      <c r="L22" s="1899">
        <f t="shared" si="3"/>
        <v>889.11099999999999</v>
      </c>
      <c r="M22" s="2127">
        <f t="shared" si="4"/>
        <v>0.88911099999999998</v>
      </c>
      <c r="N22" s="1841">
        <v>1.19232E-3</v>
      </c>
      <c r="O22" s="1842">
        <v>9.0664099999999997E-2</v>
      </c>
      <c r="P22" s="1842">
        <v>8.8911100000000005E-4</v>
      </c>
      <c r="Q22" s="1842">
        <v>889.11099999999999</v>
      </c>
      <c r="R22" s="1800">
        <v>0.88911099999999998</v>
      </c>
      <c r="S22" s="1845">
        <f t="shared" si="5"/>
        <v>-2.1042198017532929E-6</v>
      </c>
      <c r="T22" s="1847">
        <f t="shared" si="6"/>
        <v>-1.0827107073692799E-7</v>
      </c>
      <c r="U22" s="1847">
        <f t="shared" si="7"/>
        <v>-1.219422740788838E-16</v>
      </c>
      <c r="V22" s="1847">
        <f t="shared" si="8"/>
        <v>0</v>
      </c>
      <c r="W22" s="1848">
        <f t="shared" si="9"/>
        <v>0</v>
      </c>
    </row>
    <row r="23" spans="3:23" x14ac:dyDescent="0.25">
      <c r="C23" s="1841">
        <v>889</v>
      </c>
      <c r="D23" s="1797" t="s">
        <v>90</v>
      </c>
      <c r="E23" s="1800">
        <f>C23*1000000</f>
        <v>889000000</v>
      </c>
      <c r="F23" s="1841">
        <v>667</v>
      </c>
      <c r="G23" s="1797" t="s">
        <v>98</v>
      </c>
      <c r="H23" s="1798">
        <f>F23/1000</f>
        <v>0.66700000000000004</v>
      </c>
      <c r="I23" s="1898">
        <f t="shared" si="0"/>
        <v>795176.48131253675</v>
      </c>
      <c r="J23" s="1899">
        <f t="shared" si="1"/>
        <v>60465398.479603127</v>
      </c>
      <c r="K23" s="2469">
        <f t="shared" si="2"/>
        <v>592963</v>
      </c>
      <c r="L23" s="2470">
        <f t="shared" si="3"/>
        <v>592963000000</v>
      </c>
      <c r="M23" s="2471">
        <f t="shared" si="4"/>
        <v>592963000</v>
      </c>
      <c r="N23" s="1841">
        <v>795176</v>
      </c>
      <c r="O23" s="1842">
        <v>60465398</v>
      </c>
      <c r="P23" s="1842">
        <v>592963</v>
      </c>
      <c r="Q23" s="1842">
        <v>592963000000</v>
      </c>
      <c r="R23" s="1800">
        <v>592963000</v>
      </c>
      <c r="S23" s="1845">
        <f t="shared" si="5"/>
        <v>6.0529020671795327E-7</v>
      </c>
      <c r="T23" s="1847">
        <f t="shared" si="6"/>
        <v>7.931860844460875E-9</v>
      </c>
      <c r="U23" s="1847">
        <f t="shared" si="7"/>
        <v>0</v>
      </c>
      <c r="V23" s="1847">
        <f t="shared" si="8"/>
        <v>0</v>
      </c>
      <c r="W23" s="1848">
        <f t="shared" si="9"/>
        <v>0</v>
      </c>
    </row>
    <row r="24" spans="3:23" x14ac:dyDescent="0.25">
      <c r="C24" s="1841">
        <v>456</v>
      </c>
      <c r="D24" s="1797" t="s">
        <v>91</v>
      </c>
      <c r="E24" s="1800">
        <f>C24</f>
        <v>456</v>
      </c>
      <c r="F24" s="1841">
        <v>233</v>
      </c>
      <c r="G24" s="1797" t="s">
        <v>98</v>
      </c>
      <c r="H24" s="1798">
        <f>F24/1000</f>
        <v>0.23300000000000001</v>
      </c>
      <c r="I24" s="2379">
        <f t="shared" si="0"/>
        <v>0.14248091497529256</v>
      </c>
      <c r="J24" s="1899">
        <f t="shared" si="1"/>
        <v>10.834280819647892</v>
      </c>
      <c r="K24" s="2380">
        <f t="shared" si="2"/>
        <v>0.10624800000000001</v>
      </c>
      <c r="L24" s="1899">
        <f t="shared" si="3"/>
        <v>106248</v>
      </c>
      <c r="M24" s="2127">
        <f t="shared" si="4"/>
        <v>106.248</v>
      </c>
      <c r="N24" s="1841">
        <v>0.142481</v>
      </c>
      <c r="O24" s="1842">
        <v>10.834300000000001</v>
      </c>
      <c r="P24" s="1842">
        <v>0.106248</v>
      </c>
      <c r="Q24" s="1842">
        <v>106248</v>
      </c>
      <c r="R24" s="1800">
        <v>106.248</v>
      </c>
      <c r="S24" s="1845">
        <f t="shared" si="5"/>
        <v>-5.9674453561770632E-7</v>
      </c>
      <c r="T24" s="1847">
        <f t="shared" si="6"/>
        <v>-1.770339206416597E-6</v>
      </c>
      <c r="U24" s="1847">
        <f t="shared" si="7"/>
        <v>1.3061693215697665E-16</v>
      </c>
      <c r="V24" s="1847">
        <f t="shared" si="8"/>
        <v>0</v>
      </c>
      <c r="W24" s="1848">
        <f t="shared" si="9"/>
        <v>0</v>
      </c>
    </row>
    <row r="25" spans="3:23" ht="15.75" thickBot="1" x14ac:dyDescent="0.3">
      <c r="C25" s="1911">
        <v>334</v>
      </c>
      <c r="D25" s="1909" t="s">
        <v>92</v>
      </c>
      <c r="E25" s="2429">
        <f>C25/1000000</f>
        <v>3.3399999999999999E-4</v>
      </c>
      <c r="F25" s="1911">
        <v>680</v>
      </c>
      <c r="G25" s="1909" t="s">
        <v>98</v>
      </c>
      <c r="H25" s="1910">
        <f>F25/1000</f>
        <v>0.68</v>
      </c>
      <c r="I25" s="2472">
        <f t="shared" si="0"/>
        <v>3.0457293698882281E-7</v>
      </c>
      <c r="J25" s="2473">
        <f t="shared" si="1"/>
        <v>2.3159794629154709E-5</v>
      </c>
      <c r="K25" s="2473">
        <f t="shared" si="2"/>
        <v>2.2712000000000001E-7</v>
      </c>
      <c r="L25" s="2474">
        <f t="shared" si="3"/>
        <v>0.22712000000000002</v>
      </c>
      <c r="M25" s="2475">
        <f t="shared" si="4"/>
        <v>2.2712000000000001E-4</v>
      </c>
      <c r="N25" s="2476">
        <v>3.0457293698882302E-7</v>
      </c>
      <c r="O25" s="2477">
        <v>2.3159794629154699E-5</v>
      </c>
      <c r="P25" s="2477">
        <v>2.2712000000000001E-7</v>
      </c>
      <c r="Q25" s="2430">
        <v>0.22711999999999999</v>
      </c>
      <c r="R25" s="2429">
        <v>2.2712000000000001E-4</v>
      </c>
      <c r="S25" s="1914">
        <f t="shared" si="5"/>
        <v>-6.9526281260290096E-16</v>
      </c>
      <c r="T25" s="2431">
        <f t="shared" si="6"/>
        <v>4.3888106651240137E-16</v>
      </c>
      <c r="U25" s="2431">
        <f t="shared" si="7"/>
        <v>0</v>
      </c>
      <c r="V25" s="2431">
        <f t="shared" si="8"/>
        <v>1.2220665558131787E-16</v>
      </c>
      <c r="W25" s="2432">
        <f t="shared" si="9"/>
        <v>0</v>
      </c>
    </row>
    <row r="26" spans="3:23" ht="15.75" thickTop="1" x14ac:dyDescent="0.25">
      <c r="C26" s="420">
        <v>2333</v>
      </c>
      <c r="D26" s="383" t="s">
        <v>88</v>
      </c>
      <c r="E26" s="390">
        <f>C26*1000</f>
        <v>2333000</v>
      </c>
      <c r="F26" s="420">
        <v>3500</v>
      </c>
      <c r="G26" s="383" t="s">
        <v>99</v>
      </c>
      <c r="H26" s="384">
        <f>F26/1000000</f>
        <v>3.5000000000000001E-3</v>
      </c>
      <c r="I26" s="441">
        <f t="shared" si="0"/>
        <v>10.950115872588203</v>
      </c>
      <c r="J26" s="710">
        <f t="shared" si="1"/>
        <v>832.64927370712735</v>
      </c>
      <c r="K26" s="2166">
        <f t="shared" si="2"/>
        <v>8.1654999999999998</v>
      </c>
      <c r="L26" s="711">
        <f t="shared" si="3"/>
        <v>8165500</v>
      </c>
      <c r="M26" s="442">
        <f t="shared" si="4"/>
        <v>8165.5</v>
      </c>
      <c r="N26" s="420">
        <v>10.950100000000001</v>
      </c>
      <c r="O26" s="421">
        <v>832.649</v>
      </c>
      <c r="P26" s="421">
        <v>8.1654999999999998</v>
      </c>
      <c r="Q26" s="421">
        <v>8165500</v>
      </c>
      <c r="R26" s="390">
        <v>8165.5</v>
      </c>
      <c r="S26" s="210">
        <f t="shared" si="5"/>
        <v>1.4495360950242883E-6</v>
      </c>
      <c r="T26" s="211">
        <f t="shared" si="6"/>
        <v>3.2871838839184069E-7</v>
      </c>
      <c r="U26" s="211">
        <f t="shared" si="7"/>
        <v>0</v>
      </c>
      <c r="V26" s="211">
        <f t="shared" si="8"/>
        <v>0</v>
      </c>
      <c r="W26" s="212">
        <f t="shared" si="9"/>
        <v>0</v>
      </c>
    </row>
    <row r="27" spans="3:23" x14ac:dyDescent="0.25">
      <c r="C27" s="412">
        <v>3334</v>
      </c>
      <c r="D27" s="214" t="s">
        <v>89</v>
      </c>
      <c r="E27" s="216">
        <f>C27/1000</f>
        <v>3.3340000000000001</v>
      </c>
      <c r="F27" s="412">
        <v>490</v>
      </c>
      <c r="G27" s="214" t="s">
        <v>99</v>
      </c>
      <c r="H27" s="215">
        <f>F27/1000000</f>
        <v>4.8999999999999998E-4</v>
      </c>
      <c r="I27" s="693">
        <f t="shared" si="0"/>
        <v>2.1907741468878141E-6</v>
      </c>
      <c r="J27" s="519">
        <f t="shared" si="1"/>
        <v>1.6658695884935222E-4</v>
      </c>
      <c r="K27" s="519">
        <f t="shared" si="2"/>
        <v>1.6336599999999999E-6</v>
      </c>
      <c r="L27" s="218">
        <f t="shared" si="3"/>
        <v>1.6336599999999999</v>
      </c>
      <c r="M27" s="694">
        <f t="shared" si="4"/>
        <v>1.6336599999999999E-3</v>
      </c>
      <c r="N27" s="746">
        <v>2.1907741468878098E-6</v>
      </c>
      <c r="O27" s="274">
        <v>1.66587E-4</v>
      </c>
      <c r="P27" s="742">
        <v>1.6336600000000001E-6</v>
      </c>
      <c r="Q27" s="274">
        <v>1.6336599999999999</v>
      </c>
      <c r="R27" s="216">
        <v>1.6336600000000001E-3</v>
      </c>
      <c r="S27" s="221">
        <f t="shared" si="5"/>
        <v>1.9331818125971238E-15</v>
      </c>
      <c r="T27" s="222">
        <f t="shared" si="6"/>
        <v>-2.4702202417710472E-7</v>
      </c>
      <c r="U27" s="222">
        <f t="shared" si="7"/>
        <v>-1.2962197569480498E-16</v>
      </c>
      <c r="V27" s="222">
        <f t="shared" si="8"/>
        <v>0</v>
      </c>
      <c r="W27" s="223">
        <f t="shared" si="9"/>
        <v>-1.3273290311148029E-16</v>
      </c>
    </row>
    <row r="28" spans="3:23" x14ac:dyDescent="0.25">
      <c r="C28" s="412">
        <v>255</v>
      </c>
      <c r="D28" s="214" t="s">
        <v>90</v>
      </c>
      <c r="E28" s="216">
        <f>C28*1000000</f>
        <v>255000000</v>
      </c>
      <c r="F28" s="412">
        <v>150</v>
      </c>
      <c r="G28" s="214" t="s">
        <v>99</v>
      </c>
      <c r="H28" s="215">
        <f>F28/1000000</f>
        <v>1.4999999999999999E-4</v>
      </c>
      <c r="I28" s="219">
        <f t="shared" si="0"/>
        <v>51.294094927009837</v>
      </c>
      <c r="J28" s="218">
        <f t="shared" si="1"/>
        <v>3900.4145146405758</v>
      </c>
      <c r="K28" s="218">
        <f t="shared" si="2"/>
        <v>38.25</v>
      </c>
      <c r="L28" s="821">
        <f t="shared" si="3"/>
        <v>38250000</v>
      </c>
      <c r="M28" s="498">
        <f t="shared" si="4"/>
        <v>38250</v>
      </c>
      <c r="N28" s="412">
        <v>51.2941</v>
      </c>
      <c r="O28" s="274">
        <v>3900.41</v>
      </c>
      <c r="P28" s="274">
        <v>38.25</v>
      </c>
      <c r="Q28" s="274">
        <v>38250000</v>
      </c>
      <c r="R28" s="216">
        <v>38250</v>
      </c>
      <c r="S28" s="221">
        <f t="shared" si="5"/>
        <v>-9.8900081389022349E-8</v>
      </c>
      <c r="T28" s="222">
        <f t="shared" si="6"/>
        <v>1.1574771242944235E-6</v>
      </c>
      <c r="U28" s="222">
        <f t="shared" si="7"/>
        <v>0</v>
      </c>
      <c r="V28" s="222">
        <f t="shared" si="8"/>
        <v>0</v>
      </c>
      <c r="W28" s="223">
        <f t="shared" si="9"/>
        <v>0</v>
      </c>
    </row>
    <row r="29" spans="3:23" x14ac:dyDescent="0.25">
      <c r="C29" s="412">
        <v>700</v>
      </c>
      <c r="D29" s="214" t="s">
        <v>91</v>
      </c>
      <c r="E29" s="216">
        <f>C29</f>
        <v>700</v>
      </c>
      <c r="F29" s="412">
        <v>55</v>
      </c>
      <c r="G29" s="214" t="s">
        <v>99</v>
      </c>
      <c r="H29" s="215">
        <f>F29/1000000</f>
        <v>5.5000000000000002E-5</v>
      </c>
      <c r="I29" s="695">
        <f t="shared" si="0"/>
        <v>5.1629350449408591E-5</v>
      </c>
      <c r="J29" s="2167">
        <f t="shared" si="1"/>
        <v>3.9259074199650239E-3</v>
      </c>
      <c r="K29" s="519">
        <f t="shared" si="2"/>
        <v>3.8500000000000001E-5</v>
      </c>
      <c r="L29" s="2168">
        <f t="shared" si="3"/>
        <v>38.5</v>
      </c>
      <c r="M29" s="696">
        <f t="shared" si="4"/>
        <v>3.85E-2</v>
      </c>
      <c r="N29" s="746">
        <v>5.1629350449408598E-5</v>
      </c>
      <c r="O29" s="274">
        <v>3.9259100000000003E-3</v>
      </c>
      <c r="P29" s="742">
        <v>3.8500000000000001E-5</v>
      </c>
      <c r="Q29" s="274">
        <v>38.5</v>
      </c>
      <c r="R29" s="216">
        <v>3.85E-2</v>
      </c>
      <c r="S29" s="221">
        <f t="shared" si="5"/>
        <v>-1.312482825960485E-16</v>
      </c>
      <c r="T29" s="222">
        <f t="shared" si="6"/>
        <v>-6.5718181823152612E-7</v>
      </c>
      <c r="U29" s="222">
        <f t="shared" si="7"/>
        <v>0</v>
      </c>
      <c r="V29" s="222">
        <f t="shared" si="8"/>
        <v>0</v>
      </c>
      <c r="W29" s="223">
        <f t="shared" si="9"/>
        <v>0</v>
      </c>
    </row>
    <row r="30" spans="3:23" ht="15.75" thickBot="1" x14ac:dyDescent="0.3">
      <c r="C30" s="397">
        <v>177</v>
      </c>
      <c r="D30" s="398" t="s">
        <v>92</v>
      </c>
      <c r="E30" s="410">
        <f>C30/1000000</f>
        <v>1.7699999999999999E-4</v>
      </c>
      <c r="F30" s="397">
        <v>88</v>
      </c>
      <c r="G30" s="398" t="s">
        <v>99</v>
      </c>
      <c r="H30" s="399">
        <f>F30/1000000</f>
        <v>8.7999999999999998E-5</v>
      </c>
      <c r="I30" s="691">
        <f t="shared" si="0"/>
        <v>2.088776006753216E-11</v>
      </c>
      <c r="J30" s="2169">
        <f t="shared" si="1"/>
        <v>1.588309973334421E-9</v>
      </c>
      <c r="K30" s="2169">
        <f t="shared" si="2"/>
        <v>1.5576000000000001E-11</v>
      </c>
      <c r="L30" s="2169">
        <f t="shared" si="3"/>
        <v>1.5576000000000001E-5</v>
      </c>
      <c r="M30" s="692">
        <f t="shared" si="4"/>
        <v>1.5576E-8</v>
      </c>
      <c r="N30" s="743">
        <v>2.0887760067532199E-11</v>
      </c>
      <c r="O30" s="744">
        <v>1.58830997333442E-9</v>
      </c>
      <c r="P30" s="744">
        <v>1.5576000000000001E-11</v>
      </c>
      <c r="Q30" s="744">
        <v>1.5576000000000001E-5</v>
      </c>
      <c r="R30" s="743">
        <v>1.5576E-8</v>
      </c>
      <c r="S30" s="234">
        <f t="shared" si="5"/>
        <v>-1.8563068078177249E-15</v>
      </c>
      <c r="T30" s="235">
        <f t="shared" si="6"/>
        <v>6.5099116863228276E-16</v>
      </c>
      <c r="U30" s="235">
        <f t="shared" si="7"/>
        <v>0</v>
      </c>
      <c r="V30" s="235">
        <f t="shared" si="8"/>
        <v>0</v>
      </c>
      <c r="W30" s="236">
        <f t="shared" si="9"/>
        <v>0</v>
      </c>
    </row>
    <row r="31" spans="3:23" ht="15.75" thickTop="1" x14ac:dyDescent="0.25"/>
    <row r="32" spans="3:23" ht="15.75" thickBot="1" x14ac:dyDescent="0.3"/>
    <row r="33" spans="3:20" ht="15.75" thickTop="1" x14ac:dyDescent="0.25">
      <c r="C33" s="2488" t="s">
        <v>0</v>
      </c>
      <c r="D33" s="2489"/>
      <c r="E33" s="2489"/>
      <c r="F33" s="2489"/>
      <c r="G33" s="2489"/>
      <c r="H33" s="2489"/>
      <c r="I33" s="2483" t="s">
        <v>158</v>
      </c>
      <c r="J33" s="2484"/>
      <c r="K33" s="2484"/>
      <c r="L33" s="2485"/>
      <c r="M33" s="2488" t="s">
        <v>17</v>
      </c>
      <c r="N33" s="2489"/>
      <c r="O33" s="2489"/>
      <c r="P33" s="2489"/>
      <c r="Q33" s="2483" t="s">
        <v>8</v>
      </c>
      <c r="R33" s="2484"/>
      <c r="S33" s="2484"/>
      <c r="T33" s="2485"/>
    </row>
    <row r="34" spans="3:20" ht="15.75" thickBot="1" x14ac:dyDescent="0.3">
      <c r="C34" s="2486" t="s">
        <v>144</v>
      </c>
      <c r="D34" s="2487"/>
      <c r="E34" s="2496"/>
      <c r="F34" s="2486" t="s">
        <v>155</v>
      </c>
      <c r="G34" s="2487"/>
      <c r="H34" s="2487"/>
      <c r="I34" s="2480" t="s">
        <v>143</v>
      </c>
      <c r="J34" s="2481"/>
      <c r="K34" s="2481"/>
      <c r="L34" s="2482"/>
      <c r="M34" s="2486" t="s">
        <v>143</v>
      </c>
      <c r="N34" s="2487"/>
      <c r="O34" s="2487"/>
      <c r="P34" s="2496"/>
      <c r="Q34" s="2480" t="s">
        <v>143</v>
      </c>
      <c r="R34" s="2481"/>
      <c r="S34" s="2481"/>
      <c r="T34" s="2482"/>
    </row>
    <row r="35" spans="3:20" ht="15.75" thickBot="1" x14ac:dyDescent="0.3">
      <c r="C35" s="82" t="s">
        <v>3</v>
      </c>
      <c r="D35" s="66" t="s">
        <v>4</v>
      </c>
      <c r="E35" s="807" t="s">
        <v>91</v>
      </c>
      <c r="F35" s="82" t="s">
        <v>3</v>
      </c>
      <c r="G35" s="66" t="s">
        <v>4</v>
      </c>
      <c r="H35" s="84" t="s">
        <v>21</v>
      </c>
      <c r="I35" s="86" t="s">
        <v>87</v>
      </c>
      <c r="J35" s="87" t="s">
        <v>97</v>
      </c>
      <c r="K35" s="87" t="s">
        <v>98</v>
      </c>
      <c r="L35" s="88" t="s">
        <v>99</v>
      </c>
      <c r="M35" s="82" t="s">
        <v>87</v>
      </c>
      <c r="N35" s="83" t="s">
        <v>97</v>
      </c>
      <c r="O35" s="83" t="s">
        <v>98</v>
      </c>
      <c r="P35" s="84" t="s">
        <v>99</v>
      </c>
      <c r="Q35" s="86" t="s">
        <v>87</v>
      </c>
      <c r="R35" s="87" t="s">
        <v>97</v>
      </c>
      <c r="S35" s="87" t="s">
        <v>98</v>
      </c>
      <c r="T35" s="88" t="s">
        <v>99</v>
      </c>
    </row>
    <row r="36" spans="3:20" ht="15.75" thickTop="1" x14ac:dyDescent="0.25">
      <c r="C36" s="1051">
        <v>840</v>
      </c>
      <c r="D36" s="1052" t="s">
        <v>88</v>
      </c>
      <c r="E36" s="1055">
        <f>C36*1000</f>
        <v>840000</v>
      </c>
      <c r="F36" s="1091">
        <v>520</v>
      </c>
      <c r="G36" s="1052" t="s">
        <v>24</v>
      </c>
      <c r="H36" s="1055">
        <f>F36*0.74569987158227*1000</f>
        <v>387763.93322278041</v>
      </c>
      <c r="I36" s="1051">
        <f>H36/E36</f>
        <v>0.46162373002711954</v>
      </c>
      <c r="J36" s="1054">
        <f>I36/1000</f>
        <v>4.6162373002711952E-4</v>
      </c>
      <c r="K36" s="1054">
        <f>I36*1000</f>
        <v>461.62373002711956</v>
      </c>
      <c r="L36" s="1055">
        <f>I36*1000000</f>
        <v>461623.73002711951</v>
      </c>
      <c r="M36" s="1051">
        <v>0.46162399999999998</v>
      </c>
      <c r="N36" s="1054">
        <v>4.61624E-4</v>
      </c>
      <c r="O36" s="1054">
        <v>461.62400000000002</v>
      </c>
      <c r="P36" s="1053">
        <v>461624</v>
      </c>
      <c r="Q36" s="980">
        <f xml:space="preserve"> (I36-M36)/I36</f>
        <v>-5.8483319396123979E-7</v>
      </c>
      <c r="R36" s="981">
        <f xml:space="preserve"> (J36-N36)/J36</f>
        <v>-5.8483319404109467E-7</v>
      </c>
      <c r="S36" s="981">
        <f xml:space="preserve"> (K36-O36)/K36</f>
        <v>-5.8483319400453048E-7</v>
      </c>
      <c r="T36" s="982">
        <f xml:space="preserve"> (L36-P36)/L36</f>
        <v>-5.8483319406363676E-7</v>
      </c>
    </row>
    <row r="37" spans="3:20" x14ac:dyDescent="0.25">
      <c r="C37" s="1059">
        <v>720</v>
      </c>
      <c r="D37" s="59" t="s">
        <v>89</v>
      </c>
      <c r="E37" s="889">
        <f>C37/1000</f>
        <v>0.72</v>
      </c>
      <c r="F37" s="71">
        <v>9</v>
      </c>
      <c r="G37" s="59" t="s">
        <v>24</v>
      </c>
      <c r="H37" s="889">
        <f>F37*0.74569987158227*1000</f>
        <v>6711.2988442404294</v>
      </c>
      <c r="I37" s="1059">
        <f t="shared" ref="I37:I60" si="10">H37/E37</f>
        <v>9321.2483947783749</v>
      </c>
      <c r="J37" s="1060">
        <f t="shared" ref="J37:J60" si="11">I37/1000</f>
        <v>9.3212483947783742</v>
      </c>
      <c r="K37" s="1060">
        <f t="shared" ref="K37:K60" si="12">I37*1000</f>
        <v>9321248.3947783746</v>
      </c>
      <c r="L37" s="889">
        <f t="shared" ref="L37:L60" si="13">I37*1000000</f>
        <v>9321248394.7783756</v>
      </c>
      <c r="M37" s="32">
        <v>9321.25</v>
      </c>
      <c r="N37" s="1060">
        <v>9.3212499999999991</v>
      </c>
      <c r="O37" s="1060">
        <v>9321248</v>
      </c>
      <c r="P37" s="32">
        <v>9321248395</v>
      </c>
      <c r="Q37" s="897">
        <f t="shared" ref="Q37:Q60" si="14" xml:space="preserve"> (I37-M37)/I37</f>
        <v>-1.7221101264077523E-7</v>
      </c>
      <c r="R37" s="898">
        <f t="shared" ref="R37:R60" si="15" xml:space="preserve"> (J37-N37)/J37</f>
        <v>-1.7221101262095588E-7</v>
      </c>
      <c r="S37" s="898">
        <f t="shared" ref="S37:S60" si="16" xml:space="preserve"> (K37-O37)/K37</f>
        <v>4.2352521664767357E-8</v>
      </c>
      <c r="T37" s="899">
        <f t="shared" ref="T37:T60" si="17" xml:space="preserve"> (L37-P37)/L37</f>
        <v>-2.3776254531935777E-11</v>
      </c>
    </row>
    <row r="38" spans="3:20" x14ac:dyDescent="0.25">
      <c r="C38" s="1059">
        <v>63</v>
      </c>
      <c r="D38" s="59" t="s">
        <v>90</v>
      </c>
      <c r="E38" s="889">
        <f>C38*1000000</f>
        <v>63000000</v>
      </c>
      <c r="F38" s="71">
        <v>154</v>
      </c>
      <c r="G38" s="59" t="s">
        <v>24</v>
      </c>
      <c r="H38" s="889">
        <f>F38*0.74569987158227*1000</f>
        <v>114837.78022366959</v>
      </c>
      <c r="I38" s="1059">
        <f t="shared" si="10"/>
        <v>1.8228219083122157E-3</v>
      </c>
      <c r="J38" s="1060">
        <f t="shared" si="11"/>
        <v>1.8228219083122157E-6</v>
      </c>
      <c r="K38" s="1060">
        <f t="shared" si="12"/>
        <v>1.8228219083122157</v>
      </c>
      <c r="L38" s="889">
        <f t="shared" si="13"/>
        <v>1822.8219083122156</v>
      </c>
      <c r="M38" s="32">
        <v>1.82282E-3</v>
      </c>
      <c r="N38" s="1110">
        <v>1.8228219083122199E-6</v>
      </c>
      <c r="O38" s="1060">
        <v>1.8228200000000001</v>
      </c>
      <c r="P38" s="32">
        <v>1822.82</v>
      </c>
      <c r="Q38" s="897">
        <f t="shared" si="14"/>
        <v>1.0468999780019166E-6</v>
      </c>
      <c r="R38" s="898">
        <f t="shared" si="15"/>
        <v>-2.3234111445329942E-15</v>
      </c>
      <c r="S38" s="898">
        <f t="shared" si="16"/>
        <v>1.0468999779295898E-6</v>
      </c>
      <c r="T38" s="899">
        <f t="shared" si="17"/>
        <v>1.0468999779500545E-6</v>
      </c>
    </row>
    <row r="39" spans="3:20" x14ac:dyDescent="0.25">
      <c r="C39" s="1059">
        <v>70</v>
      </c>
      <c r="D39" s="59" t="s">
        <v>91</v>
      </c>
      <c r="E39" s="889">
        <f>C39</f>
        <v>70</v>
      </c>
      <c r="F39" s="71">
        <v>9</v>
      </c>
      <c r="G39" s="59" t="s">
        <v>24</v>
      </c>
      <c r="H39" s="889">
        <f>F39*0.74569987158227*1000</f>
        <v>6711.2988442404294</v>
      </c>
      <c r="I39" s="1059">
        <f t="shared" si="10"/>
        <v>95.875697774863283</v>
      </c>
      <c r="J39" s="1060">
        <f t="shared" si="11"/>
        <v>9.587569777486328E-2</v>
      </c>
      <c r="K39" s="1060">
        <f t="shared" si="12"/>
        <v>95875.697774863278</v>
      </c>
      <c r="L39" s="889">
        <f t="shared" si="13"/>
        <v>95875697.774863288</v>
      </c>
      <c r="M39" s="32">
        <v>95.875699999999995</v>
      </c>
      <c r="N39" s="1060">
        <v>9.5875699999999994E-2</v>
      </c>
      <c r="O39" s="1060">
        <v>95875.7</v>
      </c>
      <c r="P39" s="32">
        <v>95875698</v>
      </c>
      <c r="Q39" s="897">
        <f t="shared" si="14"/>
        <v>-2.3208558195387394E-8</v>
      </c>
      <c r="R39" s="898">
        <f t="shared" si="15"/>
        <v>-2.3208558220862992E-8</v>
      </c>
      <c r="S39" s="898">
        <f t="shared" si="16"/>
        <v>-2.3208558276019974E-8</v>
      </c>
      <c r="T39" s="899">
        <f t="shared" si="17"/>
        <v>-2.3482145884576337E-9</v>
      </c>
    </row>
    <row r="40" spans="3:20" ht="15.75" thickBot="1" x14ac:dyDescent="0.3">
      <c r="C40" s="1064">
        <v>123</v>
      </c>
      <c r="D40" s="953" t="s">
        <v>92</v>
      </c>
      <c r="E40" s="954">
        <f>C40/1000000</f>
        <v>1.2300000000000001E-4</v>
      </c>
      <c r="F40" s="952">
        <v>5698</v>
      </c>
      <c r="G40" s="953" t="s">
        <v>24</v>
      </c>
      <c r="H40" s="954">
        <f>F40*0.74569987158227*1000</f>
        <v>4248997.8682757746</v>
      </c>
      <c r="I40" s="1051">
        <f t="shared" si="10"/>
        <v>34544698116.06321</v>
      </c>
      <c r="J40" s="1066">
        <f t="shared" si="11"/>
        <v>34544698.116063207</v>
      </c>
      <c r="K40" s="1066">
        <f t="shared" si="12"/>
        <v>34544698116063.211</v>
      </c>
      <c r="L40" s="954">
        <f t="shared" si="13"/>
        <v>3.4544698116063208E+16</v>
      </c>
      <c r="M40" s="1065">
        <v>34544698116</v>
      </c>
      <c r="N40" s="1066">
        <v>34544698</v>
      </c>
      <c r="O40" s="1066">
        <v>34544698116063</v>
      </c>
      <c r="P40" s="2138">
        <v>3.45446981160632E+16</v>
      </c>
      <c r="Q40" s="911">
        <f t="shared" si="14"/>
        <v>1.8297897257354797E-12</v>
      </c>
      <c r="R40" s="912">
        <f t="shared" si="15"/>
        <v>3.3597979926753236E-9</v>
      </c>
      <c r="S40" s="912">
        <f t="shared" si="16"/>
        <v>6.106219232001756E-15</v>
      </c>
      <c r="T40" s="913">
        <f t="shared" si="17"/>
        <v>2.3158401828036293E-16</v>
      </c>
    </row>
    <row r="41" spans="3:20" ht="15.75" thickTop="1" x14ac:dyDescent="0.25">
      <c r="C41" s="2232">
        <v>460</v>
      </c>
      <c r="D41" s="2233" t="s">
        <v>88</v>
      </c>
      <c r="E41" s="2235">
        <f>C41*1000</f>
        <v>460000</v>
      </c>
      <c r="F41" s="2239">
        <v>96</v>
      </c>
      <c r="G41" s="2233" t="s">
        <v>19</v>
      </c>
      <c r="H41" s="2234">
        <f>F41* 9.80665</f>
        <v>941.4384</v>
      </c>
      <c r="I41" s="2240">
        <f t="shared" si="10"/>
        <v>2.0466052173913046E-3</v>
      </c>
      <c r="J41" s="2241">
        <f t="shared" si="11"/>
        <v>2.0466052173913044E-6</v>
      </c>
      <c r="K41" s="2241">
        <f t="shared" si="12"/>
        <v>2.0466052173913045</v>
      </c>
      <c r="L41" s="2235">
        <f t="shared" si="13"/>
        <v>2046.6052173913044</v>
      </c>
      <c r="M41" s="2234">
        <v>2.0466099999999999E-3</v>
      </c>
      <c r="N41" s="2242">
        <v>2.0466052173913002E-6</v>
      </c>
      <c r="O41" s="2241">
        <v>2.0466099999999998</v>
      </c>
      <c r="P41" s="2234">
        <v>2046.61</v>
      </c>
      <c r="Q41" s="2243">
        <f t="shared" si="14"/>
        <v>-2.3368496545982231E-6</v>
      </c>
      <c r="R41" s="2244">
        <f t="shared" si="15"/>
        <v>2.0693608617248783E-15</v>
      </c>
      <c r="S41" s="2244">
        <f t="shared" si="16"/>
        <v>-2.3368496545677091E-6</v>
      </c>
      <c r="T41" s="2245">
        <f t="shared" si="17"/>
        <v>-2.3368496546423531E-6</v>
      </c>
    </row>
    <row r="42" spans="3:20" x14ac:dyDescent="0.25">
      <c r="C42" s="2246">
        <v>810</v>
      </c>
      <c r="D42" s="2247" t="s">
        <v>89</v>
      </c>
      <c r="E42" s="2248">
        <f>C42/1000</f>
        <v>0.81</v>
      </c>
      <c r="F42" s="2249">
        <v>499</v>
      </c>
      <c r="G42" s="2247" t="s">
        <v>19</v>
      </c>
      <c r="H42" s="2250">
        <f>F42* 9.80665</f>
        <v>4893.5183499999994</v>
      </c>
      <c r="I42" s="2251">
        <f t="shared" si="10"/>
        <v>6041.3806790123444</v>
      </c>
      <c r="J42" s="2252">
        <f t="shared" si="11"/>
        <v>6.0413806790123443</v>
      </c>
      <c r="K42" s="2252">
        <f t="shared" si="12"/>
        <v>6041380.6790123442</v>
      </c>
      <c r="L42" s="2248">
        <f t="shared" si="13"/>
        <v>6041380679.0123444</v>
      </c>
      <c r="M42" s="2250">
        <v>6041.38</v>
      </c>
      <c r="N42" s="2252">
        <v>6.0413800000000002</v>
      </c>
      <c r="O42" s="2252">
        <v>6041381</v>
      </c>
      <c r="P42" s="2250">
        <v>6041380679</v>
      </c>
      <c r="Q42" s="2253">
        <f t="shared" si="14"/>
        <v>1.1239357034627588E-7</v>
      </c>
      <c r="R42" s="2254">
        <f t="shared" si="15"/>
        <v>1.1239357031216822E-7</v>
      </c>
      <c r="S42" s="2254">
        <f t="shared" si="16"/>
        <v>-5.3131506328729659E-8</v>
      </c>
      <c r="T42" s="2255">
        <f t="shared" si="17"/>
        <v>2.0433011934584096E-12</v>
      </c>
    </row>
    <row r="43" spans="3:20" x14ac:dyDescent="0.25">
      <c r="C43" s="2246">
        <v>940</v>
      </c>
      <c r="D43" s="2247" t="s">
        <v>90</v>
      </c>
      <c r="E43" s="2248">
        <f>C43*1000000</f>
        <v>940000000</v>
      </c>
      <c r="F43" s="2249">
        <v>60</v>
      </c>
      <c r="G43" s="2247" t="s">
        <v>19</v>
      </c>
      <c r="H43" s="2250">
        <f>F43* 9.80665</f>
        <v>588.399</v>
      </c>
      <c r="I43" s="2251">
        <f t="shared" si="10"/>
        <v>6.2595638297872336E-7</v>
      </c>
      <c r="J43" s="2252">
        <f t="shared" si="11"/>
        <v>6.2595638297872338E-10</v>
      </c>
      <c r="K43" s="2252">
        <f t="shared" si="12"/>
        <v>6.2595638297872338E-4</v>
      </c>
      <c r="L43" s="2248">
        <f t="shared" si="13"/>
        <v>0.62595638297872336</v>
      </c>
      <c r="M43" s="2256">
        <v>6.2595638297872305E-7</v>
      </c>
      <c r="N43" s="2257">
        <v>6.2595638297872296E-10</v>
      </c>
      <c r="O43" s="2252">
        <v>6.25956E-4</v>
      </c>
      <c r="P43" s="2250">
        <v>0.62595599999999996</v>
      </c>
      <c r="Q43" s="2253">
        <f t="shared" si="14"/>
        <v>5.0744327217949195E-16</v>
      </c>
      <c r="R43" s="2254">
        <f t="shared" si="15"/>
        <v>6.6073342731704685E-16</v>
      </c>
      <c r="S43" s="2254">
        <f t="shared" si="16"/>
        <v>6.1182972775953779E-7</v>
      </c>
      <c r="T43" s="2255">
        <f t="shared" si="17"/>
        <v>6.1182972778170835E-7</v>
      </c>
    </row>
    <row r="44" spans="3:20" x14ac:dyDescent="0.25">
      <c r="C44" s="2246">
        <v>4203</v>
      </c>
      <c r="D44" s="2247" t="s">
        <v>91</v>
      </c>
      <c r="E44" s="2248">
        <f>C44</f>
        <v>4203</v>
      </c>
      <c r="F44" s="2249">
        <v>840</v>
      </c>
      <c r="G44" s="2247" t="s">
        <v>19</v>
      </c>
      <c r="H44" s="2250">
        <f>F44* 9.80665</f>
        <v>8237.5859999999993</v>
      </c>
      <c r="I44" s="2251">
        <f t="shared" si="10"/>
        <v>1.9599300499643111</v>
      </c>
      <c r="J44" s="2252">
        <f t="shared" si="11"/>
        <v>1.9599300499643113E-3</v>
      </c>
      <c r="K44" s="2252">
        <f t="shared" si="12"/>
        <v>1959.9300499643111</v>
      </c>
      <c r="L44" s="2248">
        <f t="shared" si="13"/>
        <v>1959930.0499643111</v>
      </c>
      <c r="M44" s="2250">
        <v>1.9599299999999999</v>
      </c>
      <c r="N44" s="2252">
        <v>1.9599299999999999E-3</v>
      </c>
      <c r="O44" s="2252">
        <v>1959.93</v>
      </c>
      <c r="P44" s="2250">
        <v>1959930</v>
      </c>
      <c r="Q44" s="2253">
        <f t="shared" si="14"/>
        <v>2.549290528701291E-8</v>
      </c>
      <c r="R44" s="2254">
        <f t="shared" si="15"/>
        <v>2.5492905389683882E-8</v>
      </c>
      <c r="S44" s="2254">
        <f t="shared" si="16"/>
        <v>2.5492905257103793E-8</v>
      </c>
      <c r="T44" s="2255">
        <f t="shared" si="17"/>
        <v>2.549290525339144E-8</v>
      </c>
    </row>
    <row r="45" spans="3:20" ht="15.75" thickBot="1" x14ac:dyDescent="0.3">
      <c r="C45" s="2226">
        <v>5980</v>
      </c>
      <c r="D45" s="2236" t="s">
        <v>92</v>
      </c>
      <c r="E45" s="2238">
        <f>C45/1000000</f>
        <v>5.9800000000000001E-3</v>
      </c>
      <c r="F45" s="2258">
        <v>560</v>
      </c>
      <c r="G45" s="2236" t="s">
        <v>19</v>
      </c>
      <c r="H45" s="2237">
        <f>F45* 9.80665</f>
        <v>5491.7239999999993</v>
      </c>
      <c r="I45" s="2259">
        <f t="shared" si="10"/>
        <v>918348.4949832774</v>
      </c>
      <c r="J45" s="2260">
        <f t="shared" si="11"/>
        <v>918.34849498327742</v>
      </c>
      <c r="K45" s="2260">
        <f t="shared" si="12"/>
        <v>918348494.98327744</v>
      </c>
      <c r="L45" s="2238">
        <f t="shared" si="13"/>
        <v>918348494983.27734</v>
      </c>
      <c r="M45" s="2237">
        <v>918348</v>
      </c>
      <c r="N45" s="2260">
        <v>918.34799999999996</v>
      </c>
      <c r="O45" s="2260">
        <v>918348495</v>
      </c>
      <c r="P45" s="2237">
        <v>918348494983</v>
      </c>
      <c r="Q45" s="2261">
        <f t="shared" si="14"/>
        <v>5.3899285522217533E-7</v>
      </c>
      <c r="R45" s="2262">
        <f t="shared" si="15"/>
        <v>5.3899285529051003E-7</v>
      </c>
      <c r="S45" s="2262">
        <f t="shared" si="16"/>
        <v>-1.8209383496837495E-11</v>
      </c>
      <c r="T45" s="2263">
        <f t="shared" si="17"/>
        <v>3.0200272719459325E-13</v>
      </c>
    </row>
    <row r="46" spans="3:20" ht="15.75" thickTop="1" x14ac:dyDescent="0.25">
      <c r="C46" s="1900">
        <v>8</v>
      </c>
      <c r="D46" s="1892" t="s">
        <v>88</v>
      </c>
      <c r="E46" s="2425">
        <f>C46*1000</f>
        <v>8000</v>
      </c>
      <c r="F46" s="2426">
        <v>1122</v>
      </c>
      <c r="G46" s="1892" t="s">
        <v>18</v>
      </c>
      <c r="H46" s="2425">
        <f>F46*1000</f>
        <v>1122000</v>
      </c>
      <c r="I46" s="1900">
        <f t="shared" si="10"/>
        <v>140.25</v>
      </c>
      <c r="J46" s="2427">
        <f t="shared" si="11"/>
        <v>0.14025000000000001</v>
      </c>
      <c r="K46" s="2427">
        <f t="shared" si="12"/>
        <v>140250</v>
      </c>
      <c r="L46" s="2425">
        <f t="shared" si="13"/>
        <v>140250000</v>
      </c>
      <c r="M46" s="1893">
        <v>140.25</v>
      </c>
      <c r="N46" s="2427">
        <v>0.14025000000000001</v>
      </c>
      <c r="O46" s="2427">
        <v>140250</v>
      </c>
      <c r="P46" s="1893">
        <v>140250000</v>
      </c>
      <c r="Q46" s="1807">
        <f t="shared" si="14"/>
        <v>0</v>
      </c>
      <c r="R46" s="1808">
        <f t="shared" si="15"/>
        <v>0</v>
      </c>
      <c r="S46" s="1808">
        <f t="shared" si="16"/>
        <v>0</v>
      </c>
      <c r="T46" s="1809">
        <f t="shared" si="17"/>
        <v>0</v>
      </c>
    </row>
    <row r="47" spans="3:20" x14ac:dyDescent="0.25">
      <c r="C47" s="1841">
        <v>1.2</v>
      </c>
      <c r="D47" s="1797" t="s">
        <v>89</v>
      </c>
      <c r="E47" s="1800">
        <f>C47/1000</f>
        <v>1.1999999999999999E-3</v>
      </c>
      <c r="F47" s="1796">
        <v>630</v>
      </c>
      <c r="G47" s="1797" t="s">
        <v>18</v>
      </c>
      <c r="H47" s="1800">
        <f>F47*1000</f>
        <v>630000</v>
      </c>
      <c r="I47" s="1841">
        <f t="shared" si="10"/>
        <v>525000000.00000006</v>
      </c>
      <c r="J47" s="1842">
        <f t="shared" si="11"/>
        <v>525000.00000000012</v>
      </c>
      <c r="K47" s="1842">
        <f t="shared" si="12"/>
        <v>525000000000.00006</v>
      </c>
      <c r="L47" s="1800">
        <f t="shared" si="13"/>
        <v>525000000000000.06</v>
      </c>
      <c r="M47" s="1798">
        <v>525000000</v>
      </c>
      <c r="N47" s="1842">
        <v>525000</v>
      </c>
      <c r="O47" s="1842">
        <v>525000000000</v>
      </c>
      <c r="P47" s="1798">
        <v>525000000000000</v>
      </c>
      <c r="Q47" s="1845">
        <f t="shared" si="14"/>
        <v>1.1353265671502974E-16</v>
      </c>
      <c r="R47" s="1847">
        <f t="shared" si="15"/>
        <v>2.2174347014654245E-16</v>
      </c>
      <c r="S47" s="1847">
        <f t="shared" si="16"/>
        <v>1.1625744047619047E-16</v>
      </c>
      <c r="T47" s="1848">
        <f t="shared" si="17"/>
        <v>1.1904761904761904E-16</v>
      </c>
    </row>
    <row r="48" spans="3:20" x14ac:dyDescent="0.25">
      <c r="C48" s="1841">
        <v>640</v>
      </c>
      <c r="D48" s="1797" t="s">
        <v>90</v>
      </c>
      <c r="E48" s="1800">
        <f>C48*1000000</f>
        <v>640000000</v>
      </c>
      <c r="F48" s="1796">
        <v>42</v>
      </c>
      <c r="G48" s="1797" t="s">
        <v>18</v>
      </c>
      <c r="H48" s="1800">
        <f>F48*1000</f>
        <v>42000</v>
      </c>
      <c r="I48" s="1841">
        <f t="shared" si="10"/>
        <v>6.5624999999999996E-5</v>
      </c>
      <c r="J48" s="1842">
        <f t="shared" si="11"/>
        <v>6.5624999999999994E-8</v>
      </c>
      <c r="K48" s="1842">
        <f t="shared" si="12"/>
        <v>6.5625000000000003E-2</v>
      </c>
      <c r="L48" s="1800">
        <f t="shared" si="13"/>
        <v>65.625</v>
      </c>
      <c r="M48" s="2428">
        <v>6.5624999999999996E-5</v>
      </c>
      <c r="N48" s="1885">
        <v>6.5624999999999994E-8</v>
      </c>
      <c r="O48" s="1842">
        <v>6.5625000000000003E-2</v>
      </c>
      <c r="P48" s="1798">
        <v>65.625</v>
      </c>
      <c r="Q48" s="1845">
        <f t="shared" si="14"/>
        <v>0</v>
      </c>
      <c r="R48" s="1847">
        <f t="shared" si="15"/>
        <v>0</v>
      </c>
      <c r="S48" s="1847">
        <f t="shared" si="16"/>
        <v>0</v>
      </c>
      <c r="T48" s="1848">
        <f t="shared" si="17"/>
        <v>0</v>
      </c>
    </row>
    <row r="49" spans="3:23" x14ac:dyDescent="0.25">
      <c r="C49" s="1841">
        <v>760</v>
      </c>
      <c r="D49" s="1797" t="s">
        <v>91</v>
      </c>
      <c r="E49" s="1800">
        <f>C49</f>
        <v>760</v>
      </c>
      <c r="F49" s="1796">
        <v>1450</v>
      </c>
      <c r="G49" s="1797" t="s">
        <v>18</v>
      </c>
      <c r="H49" s="1800">
        <f>F49*1000</f>
        <v>1450000</v>
      </c>
      <c r="I49" s="1841">
        <f t="shared" si="10"/>
        <v>1907.8947368421052</v>
      </c>
      <c r="J49" s="1842">
        <f t="shared" si="11"/>
        <v>1.9078947368421053</v>
      </c>
      <c r="K49" s="1842">
        <f t="shared" si="12"/>
        <v>1907894.7368421052</v>
      </c>
      <c r="L49" s="1800">
        <f t="shared" si="13"/>
        <v>1907894736.8421052</v>
      </c>
      <c r="M49" s="1798">
        <v>1907.89</v>
      </c>
      <c r="N49" s="1842">
        <v>1.9078900000000001</v>
      </c>
      <c r="O49" s="1842">
        <v>1907895</v>
      </c>
      <c r="P49" s="1798">
        <v>1907894737</v>
      </c>
      <c r="Q49" s="1845">
        <f t="shared" si="14"/>
        <v>2.4827586206058564E-6</v>
      </c>
      <c r="R49" s="1847">
        <f t="shared" si="15"/>
        <v>2.4827586206691679E-6</v>
      </c>
      <c r="S49" s="1847">
        <f t="shared" si="16"/>
        <v>-1.3793103453414195E-7</v>
      </c>
      <c r="T49" s="1848">
        <f t="shared" si="17"/>
        <v>-8.2758679883233434E-11</v>
      </c>
    </row>
    <row r="50" spans="3:23" ht="15.75" thickBot="1" x14ac:dyDescent="0.3">
      <c r="C50" s="1911">
        <v>980</v>
      </c>
      <c r="D50" s="1909" t="s">
        <v>92</v>
      </c>
      <c r="E50" s="2429">
        <f>C50/1000000</f>
        <v>9.7999999999999997E-4</v>
      </c>
      <c r="F50" s="1908">
        <v>154</v>
      </c>
      <c r="G50" s="1909" t="s">
        <v>18</v>
      </c>
      <c r="H50" s="2429">
        <f>F50*1000</f>
        <v>154000</v>
      </c>
      <c r="I50" s="1871">
        <f t="shared" si="10"/>
        <v>157142857.14285713</v>
      </c>
      <c r="J50" s="2430">
        <f t="shared" si="11"/>
        <v>157142.85714285713</v>
      </c>
      <c r="K50" s="2430">
        <f t="shared" si="12"/>
        <v>157142857142.85715</v>
      </c>
      <c r="L50" s="2429">
        <f t="shared" si="13"/>
        <v>157142857142857.12</v>
      </c>
      <c r="M50" s="1910">
        <v>157142857</v>
      </c>
      <c r="N50" s="2430">
        <v>157143</v>
      </c>
      <c r="O50" s="2430">
        <v>157142857143</v>
      </c>
      <c r="P50" s="1910">
        <v>157142857142857</v>
      </c>
      <c r="Q50" s="1914">
        <f t="shared" si="14"/>
        <v>9.0909085490486843E-10</v>
      </c>
      <c r="R50" s="2431">
        <f t="shared" si="15"/>
        <v>-9.0909090917028323E-7</v>
      </c>
      <c r="S50" s="2431">
        <f t="shared" si="16"/>
        <v>-9.0906316583806815E-13</v>
      </c>
      <c r="T50" s="2432">
        <f t="shared" si="17"/>
        <v>7.9545454545454551E-16</v>
      </c>
    </row>
    <row r="51" spans="3:23" ht="15.75" thickTop="1" x14ac:dyDescent="0.25">
      <c r="C51" s="420">
        <v>788</v>
      </c>
      <c r="D51" s="383" t="s">
        <v>88</v>
      </c>
      <c r="E51" s="390">
        <f>C51*1000</f>
        <v>788000</v>
      </c>
      <c r="F51" s="382">
        <v>9</v>
      </c>
      <c r="G51" s="383" t="s">
        <v>20</v>
      </c>
      <c r="H51" s="429">
        <f>F51/1000</f>
        <v>8.9999999999999993E-3</v>
      </c>
      <c r="I51" s="2433">
        <f t="shared" si="10"/>
        <v>1.1421319796954314E-8</v>
      </c>
      <c r="J51" s="421">
        <f t="shared" si="11"/>
        <v>1.1421319796954313E-11</v>
      </c>
      <c r="K51" s="421">
        <f t="shared" si="12"/>
        <v>1.1421319796954314E-5</v>
      </c>
      <c r="L51" s="390">
        <f t="shared" si="13"/>
        <v>1.1421319796954314E-2</v>
      </c>
      <c r="M51" s="751">
        <v>1.1421319796954301E-8</v>
      </c>
      <c r="N51" s="748">
        <v>1.14213197969543E-11</v>
      </c>
      <c r="O51" s="748">
        <v>1.14213197969543E-5</v>
      </c>
      <c r="P51" s="384">
        <v>1.1421300000000001E-2</v>
      </c>
      <c r="Q51" s="210">
        <f t="shared" si="14"/>
        <v>1.1587881292298416E-15</v>
      </c>
      <c r="R51" s="211">
        <f t="shared" si="15"/>
        <v>1.1316290324510172E-15</v>
      </c>
      <c r="S51" s="211">
        <f t="shared" si="16"/>
        <v>1.1865990443313577E-15</v>
      </c>
      <c r="T51" s="212">
        <f t="shared" si="17"/>
        <v>1.7333333332451698E-6</v>
      </c>
    </row>
    <row r="52" spans="3:23" x14ac:dyDescent="0.25">
      <c r="C52" s="412">
        <v>366</v>
      </c>
      <c r="D52" s="214" t="s">
        <v>89</v>
      </c>
      <c r="E52" s="216">
        <f>C52/1000</f>
        <v>0.36599999999999999</v>
      </c>
      <c r="F52" s="213">
        <v>5698</v>
      </c>
      <c r="G52" s="214" t="s">
        <v>20</v>
      </c>
      <c r="H52" s="217">
        <f>F52/1000</f>
        <v>5.6980000000000004</v>
      </c>
      <c r="I52" s="435">
        <f t="shared" si="10"/>
        <v>15.568306010928962</v>
      </c>
      <c r="J52" s="274">
        <f t="shared" si="11"/>
        <v>1.5568306010928963E-2</v>
      </c>
      <c r="K52" s="274">
        <f t="shared" si="12"/>
        <v>15568.306010928962</v>
      </c>
      <c r="L52" s="216">
        <f t="shared" si="13"/>
        <v>15568306.010928962</v>
      </c>
      <c r="M52" s="215">
        <v>15.568300000000001</v>
      </c>
      <c r="N52" s="274">
        <v>1.55683E-2</v>
      </c>
      <c r="O52" s="274">
        <v>15568.3</v>
      </c>
      <c r="P52" s="215">
        <v>15568306</v>
      </c>
      <c r="Q52" s="221">
        <f t="shared" si="14"/>
        <v>3.8610038609636876E-7</v>
      </c>
      <c r="R52" s="222">
        <f t="shared" si="15"/>
        <v>3.8610038617481306E-7</v>
      </c>
      <c r="S52" s="222">
        <f t="shared" si="16"/>
        <v>3.8610038614839876E-7</v>
      </c>
      <c r="T52" s="223">
        <f t="shared" si="17"/>
        <v>7.0200074253562626E-10</v>
      </c>
    </row>
    <row r="53" spans="3:23" x14ac:dyDescent="0.25">
      <c r="C53" s="412">
        <v>486</v>
      </c>
      <c r="D53" s="214" t="s">
        <v>90</v>
      </c>
      <c r="E53" s="216">
        <f>C53*1000000</f>
        <v>486000000</v>
      </c>
      <c r="F53" s="213">
        <v>96</v>
      </c>
      <c r="G53" s="214" t="s">
        <v>20</v>
      </c>
      <c r="H53" s="217">
        <f>F53/1000</f>
        <v>9.6000000000000002E-2</v>
      </c>
      <c r="I53" s="435">
        <f t="shared" si="10"/>
        <v>1.9753086419753086E-10</v>
      </c>
      <c r="J53" s="274">
        <f t="shared" si="11"/>
        <v>1.9753086419753086E-13</v>
      </c>
      <c r="K53" s="274">
        <f t="shared" si="12"/>
        <v>1.9753086419753084E-7</v>
      </c>
      <c r="L53" s="216">
        <f t="shared" si="13"/>
        <v>1.9753086419753085E-4</v>
      </c>
      <c r="M53" s="741">
        <v>1.9753086419753101E-10</v>
      </c>
      <c r="N53" s="742">
        <v>1.9753086419753101E-13</v>
      </c>
      <c r="O53" s="742">
        <v>1.97530864197531E-7</v>
      </c>
      <c r="P53" s="215">
        <v>1.97531E-4</v>
      </c>
      <c r="Q53" s="221">
        <f t="shared" si="14"/>
        <v>-7.8517534707181924E-16</v>
      </c>
      <c r="R53" s="222">
        <f t="shared" si="15"/>
        <v>-7.6677279987482347E-16</v>
      </c>
      <c r="S53" s="222">
        <f t="shared" si="16"/>
        <v>-8.04019555401543E-16</v>
      </c>
      <c r="T53" s="223">
        <f t="shared" si="17"/>
        <v>-6.8750000007519936E-7</v>
      </c>
    </row>
    <row r="54" spans="3:23" x14ac:dyDescent="0.25">
      <c r="C54" s="412">
        <v>266</v>
      </c>
      <c r="D54" s="214" t="s">
        <v>91</v>
      </c>
      <c r="E54" s="216">
        <f>C54</f>
        <v>266</v>
      </c>
      <c r="F54" s="213">
        <v>499</v>
      </c>
      <c r="G54" s="214" t="s">
        <v>20</v>
      </c>
      <c r="H54" s="217">
        <f>F54/1000</f>
        <v>0.499</v>
      </c>
      <c r="I54" s="435">
        <f t="shared" si="10"/>
        <v>1.8759398496240602E-3</v>
      </c>
      <c r="J54" s="274">
        <f t="shared" si="11"/>
        <v>1.8759398496240601E-6</v>
      </c>
      <c r="K54" s="274">
        <f t="shared" si="12"/>
        <v>1.8759398496240602</v>
      </c>
      <c r="L54" s="216">
        <f t="shared" si="13"/>
        <v>1875.9398496240601</v>
      </c>
      <c r="M54" s="215">
        <v>1.87594E-3</v>
      </c>
      <c r="N54" s="742">
        <v>1.8759398496240599E-6</v>
      </c>
      <c r="O54" s="274">
        <v>1.8759399999999999</v>
      </c>
      <c r="P54" s="215">
        <v>1875.94</v>
      </c>
      <c r="Q54" s="221">
        <f t="shared" si="14"/>
        <v>-8.0160320605173403E-8</v>
      </c>
      <c r="R54" s="222">
        <f t="shared" si="15"/>
        <v>1.1288114427336867E-16</v>
      </c>
      <c r="S54" s="222">
        <f t="shared" si="16"/>
        <v>-8.0160320561711455E-8</v>
      </c>
      <c r="T54" s="223">
        <f t="shared" si="17"/>
        <v>-8.0160320688598168E-8</v>
      </c>
    </row>
    <row r="55" spans="3:23" ht="15.75" thickBot="1" x14ac:dyDescent="0.3">
      <c r="C55" s="422">
        <v>941</v>
      </c>
      <c r="D55" s="228" t="s">
        <v>92</v>
      </c>
      <c r="E55" s="230">
        <f>C55/1000000</f>
        <v>9.41E-4</v>
      </c>
      <c r="F55" s="227">
        <v>60</v>
      </c>
      <c r="G55" s="228" t="s">
        <v>20</v>
      </c>
      <c r="H55" s="231">
        <f>F55/1000</f>
        <v>0.06</v>
      </c>
      <c r="I55" s="436">
        <f t="shared" si="10"/>
        <v>63.761955366631241</v>
      </c>
      <c r="J55" s="423">
        <f t="shared" si="11"/>
        <v>6.3761955366631234E-2</v>
      </c>
      <c r="K55" s="423">
        <f t="shared" si="12"/>
        <v>63761.955366631242</v>
      </c>
      <c r="L55" s="230">
        <f t="shared" si="13"/>
        <v>63761955.36663124</v>
      </c>
      <c r="M55" s="229">
        <v>63.762</v>
      </c>
      <c r="N55" s="423">
        <v>6.3761999999999999E-2</v>
      </c>
      <c r="O55" s="423">
        <v>63762</v>
      </c>
      <c r="P55" s="229">
        <v>63761955</v>
      </c>
      <c r="Q55" s="437">
        <f t="shared" si="14"/>
        <v>-7.0000000003934327E-7</v>
      </c>
      <c r="R55" s="438">
        <f t="shared" si="15"/>
        <v>-7.0000000012814451E-7</v>
      </c>
      <c r="S55" s="438">
        <f t="shared" si="16"/>
        <v>-7.0000000001794733E-7</v>
      </c>
      <c r="T55" s="439">
        <f t="shared" si="17"/>
        <v>5.7499999418854717E-9</v>
      </c>
    </row>
    <row r="56" spans="3:23" ht="15.75" thickTop="1" x14ac:dyDescent="0.25">
      <c r="C56" s="2363">
        <v>8002</v>
      </c>
      <c r="D56" s="2364" t="s">
        <v>88</v>
      </c>
      <c r="E56" s="2366">
        <f>C56*1000</f>
        <v>8002000</v>
      </c>
      <c r="F56" s="2434">
        <v>840</v>
      </c>
      <c r="G56" s="2364" t="s">
        <v>21</v>
      </c>
      <c r="H56" s="2435">
        <f>F56</f>
        <v>840</v>
      </c>
      <c r="I56" s="2367">
        <f t="shared" si="10"/>
        <v>1.0497375656085979E-4</v>
      </c>
      <c r="J56" s="2436">
        <f t="shared" si="11"/>
        <v>1.0497375656085979E-7</v>
      </c>
      <c r="K56" s="2436">
        <f t="shared" si="12"/>
        <v>0.10497375656085979</v>
      </c>
      <c r="L56" s="2368">
        <f t="shared" si="13"/>
        <v>104.97375656085978</v>
      </c>
      <c r="M56" s="2365">
        <v>1.04974E-4</v>
      </c>
      <c r="N56" s="2437">
        <v>1.0497375656086001E-7</v>
      </c>
      <c r="O56" s="2438">
        <v>0.104974</v>
      </c>
      <c r="P56" s="2365">
        <v>104.974</v>
      </c>
      <c r="Q56" s="2439">
        <f t="shared" si="14"/>
        <v>-2.3190476190119819E-6</v>
      </c>
      <c r="R56" s="2440">
        <f t="shared" si="15"/>
        <v>-2.0172492987883664E-15</v>
      </c>
      <c r="S56" s="2440">
        <f t="shared" si="16"/>
        <v>-2.3190476189747997E-6</v>
      </c>
      <c r="T56" s="2441">
        <f t="shared" si="17"/>
        <v>-2.319047619099599E-6</v>
      </c>
    </row>
    <row r="57" spans="3:23" x14ac:dyDescent="0.25">
      <c r="C57" s="2442">
        <v>64</v>
      </c>
      <c r="D57" s="2443" t="s">
        <v>89</v>
      </c>
      <c r="E57" s="2444">
        <f>C57/1000</f>
        <v>6.4000000000000001E-2</v>
      </c>
      <c r="F57" s="2445">
        <v>560</v>
      </c>
      <c r="G57" s="2443" t="s">
        <v>21</v>
      </c>
      <c r="H57" s="2446">
        <f>F57</f>
        <v>560</v>
      </c>
      <c r="I57" s="2442">
        <f t="shared" si="10"/>
        <v>8750</v>
      </c>
      <c r="J57" s="2447">
        <f t="shared" si="11"/>
        <v>8.75</v>
      </c>
      <c r="K57" s="2447">
        <f t="shared" si="12"/>
        <v>8750000</v>
      </c>
      <c r="L57" s="2444">
        <f t="shared" si="13"/>
        <v>8750000000</v>
      </c>
      <c r="M57" s="2448">
        <v>8750</v>
      </c>
      <c r="N57" s="2447">
        <v>8.75</v>
      </c>
      <c r="O57" s="2447">
        <v>8750000</v>
      </c>
      <c r="P57" s="2448">
        <v>8750000000</v>
      </c>
      <c r="Q57" s="2449">
        <f t="shared" si="14"/>
        <v>0</v>
      </c>
      <c r="R57" s="2450">
        <f t="shared" si="15"/>
        <v>0</v>
      </c>
      <c r="S57" s="2450">
        <f t="shared" si="16"/>
        <v>0</v>
      </c>
      <c r="T57" s="2451">
        <f t="shared" si="17"/>
        <v>0</v>
      </c>
    </row>
    <row r="58" spans="3:23" x14ac:dyDescent="0.25">
      <c r="C58" s="2442">
        <v>81</v>
      </c>
      <c r="D58" s="2443" t="s">
        <v>90</v>
      </c>
      <c r="E58" s="2444">
        <f>C58*1000000</f>
        <v>81000000</v>
      </c>
      <c r="F58" s="2445">
        <v>1122</v>
      </c>
      <c r="G58" s="2443" t="s">
        <v>21</v>
      </c>
      <c r="H58" s="2446">
        <f>F58</f>
        <v>1122</v>
      </c>
      <c r="I58" s="2442">
        <f t="shared" si="10"/>
        <v>1.3851851851851851E-5</v>
      </c>
      <c r="J58" s="2447">
        <f t="shared" si="11"/>
        <v>1.3851851851851851E-8</v>
      </c>
      <c r="K58" s="2447">
        <f t="shared" si="12"/>
        <v>1.3851851851851851E-2</v>
      </c>
      <c r="L58" s="2444">
        <f t="shared" si="13"/>
        <v>13.851851851851851</v>
      </c>
      <c r="M58" s="2452">
        <v>1.38518518518519E-5</v>
      </c>
      <c r="N58" s="2453">
        <v>1.3851851851851901E-8</v>
      </c>
      <c r="O58" s="2447">
        <v>1.38519E-2</v>
      </c>
      <c r="P58" s="2448">
        <v>13.851900000000001</v>
      </c>
      <c r="Q58" s="2449">
        <f t="shared" si="14"/>
        <v>-3.5466673673803059E-15</v>
      </c>
      <c r="R58" s="2450">
        <f t="shared" si="15"/>
        <v>-3.5829748458179279E-15</v>
      </c>
      <c r="S58" s="2450">
        <f t="shared" si="16"/>
        <v>-3.4759358289398521E-6</v>
      </c>
      <c r="T58" s="2451">
        <f t="shared" si="17"/>
        <v>-3.4759358289638968E-6</v>
      </c>
    </row>
    <row r="59" spans="3:23" x14ac:dyDescent="0.25">
      <c r="C59" s="2442">
        <v>745</v>
      </c>
      <c r="D59" s="2443" t="s">
        <v>91</v>
      </c>
      <c r="E59" s="2444">
        <f>C59</f>
        <v>745</v>
      </c>
      <c r="F59" s="2445">
        <v>630</v>
      </c>
      <c r="G59" s="2443" t="s">
        <v>21</v>
      </c>
      <c r="H59" s="2446">
        <f>F59</f>
        <v>630</v>
      </c>
      <c r="I59" s="2442">
        <f t="shared" si="10"/>
        <v>0.84563758389261745</v>
      </c>
      <c r="J59" s="2447">
        <f t="shared" si="11"/>
        <v>8.4563758389261741E-4</v>
      </c>
      <c r="K59" s="2447">
        <f t="shared" si="12"/>
        <v>845.6375838926175</v>
      </c>
      <c r="L59" s="2444">
        <f t="shared" si="13"/>
        <v>845637.58389261749</v>
      </c>
      <c r="M59" s="2448">
        <v>0.845638</v>
      </c>
      <c r="N59" s="2447">
        <v>8.4563800000000001E-4</v>
      </c>
      <c r="O59" s="2447">
        <v>845.63800000000003</v>
      </c>
      <c r="P59" s="2448">
        <v>845638</v>
      </c>
      <c r="Q59" s="2449">
        <f t="shared" si="14"/>
        <v>-4.9206349206354361E-7</v>
      </c>
      <c r="R59" s="2450">
        <f t="shared" si="15"/>
        <v>-4.9206349212200794E-7</v>
      </c>
      <c r="S59" s="2450">
        <f t="shared" si="16"/>
        <v>-4.9206349204463804E-7</v>
      </c>
      <c r="T59" s="2451">
        <f t="shared" si="17"/>
        <v>-4.9206349201452369E-7</v>
      </c>
    </row>
    <row r="60" spans="3:23" ht="15.75" thickBot="1" x14ac:dyDescent="0.3">
      <c r="C60" s="2454">
        <v>1122</v>
      </c>
      <c r="D60" s="2455" t="s">
        <v>92</v>
      </c>
      <c r="E60" s="2456">
        <f>C60/1000000</f>
        <v>1.122E-3</v>
      </c>
      <c r="F60" s="2457">
        <v>42</v>
      </c>
      <c r="G60" s="2455" t="s">
        <v>21</v>
      </c>
      <c r="H60" s="2458">
        <f>F60</f>
        <v>42</v>
      </c>
      <c r="I60" s="2454">
        <f t="shared" si="10"/>
        <v>37433.155080213903</v>
      </c>
      <c r="J60" s="2459">
        <f t="shared" si="11"/>
        <v>37.433155080213901</v>
      </c>
      <c r="K60" s="2459">
        <f t="shared" si="12"/>
        <v>37433155.080213904</v>
      </c>
      <c r="L60" s="2456">
        <f t="shared" si="13"/>
        <v>37433155080.213905</v>
      </c>
      <c r="M60" s="2460">
        <v>37433.199999999997</v>
      </c>
      <c r="N60" s="2459">
        <v>37.433199999999999</v>
      </c>
      <c r="O60" s="2459">
        <v>37433155</v>
      </c>
      <c r="P60" s="2460">
        <v>37433155080</v>
      </c>
      <c r="Q60" s="2461">
        <f t="shared" si="14"/>
        <v>-1.1999999999503155E-6</v>
      </c>
      <c r="R60" s="2462">
        <f t="shared" si="15"/>
        <v>-1.2000000000672427E-6</v>
      </c>
      <c r="S60" s="2462">
        <f t="shared" si="16"/>
        <v>2.1428571598870414E-9</v>
      </c>
      <c r="T60" s="2463">
        <f t="shared" si="17"/>
        <v>5.7143282209123882E-12</v>
      </c>
    </row>
    <row r="61" spans="3:23" ht="15.75" thickTop="1" x14ac:dyDescent="0.25"/>
    <row r="62" spans="3:23" ht="15.75" thickBot="1" x14ac:dyDescent="0.3"/>
    <row r="63" spans="3:23" ht="15.75" thickTop="1" x14ac:dyDescent="0.25">
      <c r="C63" s="2488" t="s">
        <v>0</v>
      </c>
      <c r="D63" s="2489"/>
      <c r="E63" s="2489"/>
      <c r="F63" s="2489"/>
      <c r="G63" s="2489"/>
      <c r="H63" s="2489"/>
      <c r="I63" s="2483" t="s">
        <v>158</v>
      </c>
      <c r="J63" s="2484"/>
      <c r="K63" s="2484"/>
      <c r="L63" s="2484"/>
      <c r="M63" s="2485"/>
      <c r="N63" s="2489" t="s">
        <v>17</v>
      </c>
      <c r="O63" s="2489"/>
      <c r="P63" s="2489"/>
      <c r="Q63" s="2489"/>
      <c r="R63" s="2489"/>
      <c r="S63" s="2483" t="s">
        <v>8</v>
      </c>
      <c r="T63" s="2484"/>
      <c r="U63" s="2484"/>
      <c r="V63" s="2484"/>
      <c r="W63" s="2485"/>
    </row>
    <row r="64" spans="3:23" ht="15.75" thickBot="1" x14ac:dyDescent="0.3">
      <c r="C64" s="2486" t="s">
        <v>143</v>
      </c>
      <c r="D64" s="2487"/>
      <c r="E64" s="2496"/>
      <c r="F64" s="2486" t="s">
        <v>155</v>
      </c>
      <c r="G64" s="2487"/>
      <c r="H64" s="2487"/>
      <c r="I64" s="2480" t="s">
        <v>144</v>
      </c>
      <c r="J64" s="2481"/>
      <c r="K64" s="2481"/>
      <c r="L64" s="2481"/>
      <c r="M64" s="2482"/>
      <c r="N64" s="2486" t="s">
        <v>144</v>
      </c>
      <c r="O64" s="2487"/>
      <c r="P64" s="2487"/>
      <c r="Q64" s="2487"/>
      <c r="R64" s="2496"/>
      <c r="S64" s="2480" t="s">
        <v>144</v>
      </c>
      <c r="T64" s="2481"/>
      <c r="U64" s="2481"/>
      <c r="V64" s="2481"/>
      <c r="W64" s="2482"/>
    </row>
    <row r="65" spans="3:23" ht="15.75" thickBot="1" x14ac:dyDescent="0.3">
      <c r="C65" s="82" t="s">
        <v>3</v>
      </c>
      <c r="D65" s="66" t="s">
        <v>4</v>
      </c>
      <c r="E65" s="807" t="s">
        <v>87</v>
      </c>
      <c r="F65" s="82" t="s">
        <v>3</v>
      </c>
      <c r="G65" s="83" t="s">
        <v>4</v>
      </c>
      <c r="H65" s="84" t="s">
        <v>21</v>
      </c>
      <c r="I65" s="86" t="s">
        <v>88</v>
      </c>
      <c r="J65" s="87" t="s">
        <v>89</v>
      </c>
      <c r="K65" s="87" t="s">
        <v>90</v>
      </c>
      <c r="L65" s="87" t="s">
        <v>91</v>
      </c>
      <c r="M65" s="88" t="s">
        <v>92</v>
      </c>
      <c r="N65" s="84" t="s">
        <v>88</v>
      </c>
      <c r="O65" s="83" t="s">
        <v>89</v>
      </c>
      <c r="P65" s="83" t="s">
        <v>90</v>
      </c>
      <c r="Q65" s="83" t="s">
        <v>91</v>
      </c>
      <c r="R65" s="84" t="s">
        <v>92</v>
      </c>
      <c r="S65" s="86" t="s">
        <v>88</v>
      </c>
      <c r="T65" s="87" t="s">
        <v>89</v>
      </c>
      <c r="U65" s="87" t="s">
        <v>90</v>
      </c>
      <c r="V65" s="87" t="s">
        <v>91</v>
      </c>
      <c r="W65" s="88" t="s">
        <v>92</v>
      </c>
    </row>
    <row r="66" spans="3:23" ht="15.75" thickTop="1" x14ac:dyDescent="0.25">
      <c r="C66" s="1051">
        <v>0.15</v>
      </c>
      <c r="D66" s="1052" t="s">
        <v>87</v>
      </c>
      <c r="E66" s="1053">
        <f>C66</f>
        <v>0.15</v>
      </c>
      <c r="F66" s="1091">
        <v>520</v>
      </c>
      <c r="G66" s="1054" t="s">
        <v>24</v>
      </c>
      <c r="H66" s="1055">
        <f>F66*0.74569987158227*1000</f>
        <v>387763.93322278041</v>
      </c>
      <c r="I66" s="1051">
        <f>L66/1000</f>
        <v>2585.0928881518698</v>
      </c>
      <c r="J66" s="1054">
        <f>L66*1000</f>
        <v>2585092888.1518698</v>
      </c>
      <c r="K66" s="1054">
        <f>L66/1000000</f>
        <v>2.5850928881518698</v>
      </c>
      <c r="L66" s="1054">
        <f>H66/E66</f>
        <v>2585092.8881518696</v>
      </c>
      <c r="M66" s="1055">
        <f>L66*1000000</f>
        <v>2585092888151.8696</v>
      </c>
      <c r="N66" s="1053">
        <v>2585.09</v>
      </c>
      <c r="O66" s="1054">
        <v>2585092888</v>
      </c>
      <c r="P66" s="1054">
        <v>2.5850900000000001</v>
      </c>
      <c r="Q66" s="1054">
        <v>2585093</v>
      </c>
      <c r="R66" s="1053">
        <v>2585092888152</v>
      </c>
      <c r="S66" s="980">
        <f>(I66-N66)/I66</f>
        <v>1.1172333044281012E-6</v>
      </c>
      <c r="T66" s="981">
        <f t="shared" ref="T66:W66" si="18">(J66-O66)/J66</f>
        <v>5.8748285046469097E-11</v>
      </c>
      <c r="U66" s="981">
        <f t="shared" si="18"/>
        <v>1.1172333044198554E-6</v>
      </c>
      <c r="V66" s="981">
        <f t="shared" si="18"/>
        <v>-4.3266580813845605E-8</v>
      </c>
      <c r="W66" s="982">
        <f t="shared" si="18"/>
        <v>-5.0431879777907977E-14</v>
      </c>
    </row>
    <row r="67" spans="3:23" x14ac:dyDescent="0.25">
      <c r="C67" s="71">
        <v>677</v>
      </c>
      <c r="D67" s="59" t="s">
        <v>97</v>
      </c>
      <c r="E67" s="32">
        <f>C67*1000</f>
        <v>677000</v>
      </c>
      <c r="F67" s="1059">
        <v>599</v>
      </c>
      <c r="G67" s="1060" t="s">
        <v>24</v>
      </c>
      <c r="H67" s="889">
        <f>F67*0.74569987158227*1000</f>
        <v>446674.22307777975</v>
      </c>
      <c r="I67" s="1059">
        <f t="shared" ref="I67:I85" si="19">L67/1000</f>
        <v>6.5978467219760678E-4</v>
      </c>
      <c r="J67" s="1060">
        <f t="shared" ref="J67:J85" si="20">L67*1000</f>
        <v>659.78467219760671</v>
      </c>
      <c r="K67" s="1060">
        <f t="shared" ref="K67:K85" si="21">L67/1000000</f>
        <v>6.5978467219760675E-7</v>
      </c>
      <c r="L67" s="1060">
        <f t="shared" ref="L67:L85" si="22">H67/E67</f>
        <v>0.65978467219760673</v>
      </c>
      <c r="M67" s="889">
        <f t="shared" ref="M67:M85" si="23">L67*1000000</f>
        <v>659784.67219760676</v>
      </c>
      <c r="N67" s="32">
        <v>6.5978499999999997E-4</v>
      </c>
      <c r="O67" s="1060">
        <v>659.78499999999997</v>
      </c>
      <c r="P67" s="1110">
        <v>6.5978467219760697E-7</v>
      </c>
      <c r="Q67" s="1060">
        <v>0.65978499999999995</v>
      </c>
      <c r="R67" s="32">
        <v>659785</v>
      </c>
      <c r="S67" s="897">
        <f t="shared" ref="S67:S85" si="24">(I67-N67)/I67</f>
        <v>-4.9683238639388155E-7</v>
      </c>
      <c r="T67" s="898">
        <f t="shared" ref="T67:T85" si="25">(J67-O67)/J67</f>
        <v>-4.9683238649085804E-7</v>
      </c>
      <c r="U67" s="898">
        <f t="shared" ref="U67:U85" si="26">(K67-P67)/K67</f>
        <v>-3.2095052482539804E-16</v>
      </c>
      <c r="V67" s="898">
        <f t="shared" ref="V67:V85" si="27">(L67-Q67)/L67</f>
        <v>-4.968323864477808E-7</v>
      </c>
      <c r="W67" s="899">
        <f t="shared" ref="W67:W85" si="28">(M67-R67)/M67</f>
        <v>-4.9683238645777462E-7</v>
      </c>
    </row>
    <row r="68" spans="3:23" x14ac:dyDescent="0.25">
      <c r="C68" s="71">
        <v>866</v>
      </c>
      <c r="D68" s="59" t="s">
        <v>98</v>
      </c>
      <c r="E68" s="32">
        <f>C68/1000</f>
        <v>0.86599999999999999</v>
      </c>
      <c r="F68" s="1059">
        <v>666</v>
      </c>
      <c r="G68" s="1060" t="s">
        <v>24</v>
      </c>
      <c r="H68" s="889">
        <f>F68*0.74569987158227*1000</f>
        <v>496636.11447379185</v>
      </c>
      <c r="I68" s="1059">
        <f t="shared" si="19"/>
        <v>573.48281117066028</v>
      </c>
      <c r="J68" s="1060">
        <f t="shared" si="20"/>
        <v>573482811.17066026</v>
      </c>
      <c r="K68" s="1060">
        <f t="shared" si="21"/>
        <v>0.57348281117066036</v>
      </c>
      <c r="L68" s="1060">
        <f t="shared" si="22"/>
        <v>573482.81117066031</v>
      </c>
      <c r="M68" s="889">
        <f t="shared" si="23"/>
        <v>573482811170.66028</v>
      </c>
      <c r="N68" s="32">
        <v>573.48299999999995</v>
      </c>
      <c r="O68" s="1060">
        <v>573482811</v>
      </c>
      <c r="P68" s="1060">
        <v>0.57348299999999997</v>
      </c>
      <c r="Q68" s="1060">
        <v>573483</v>
      </c>
      <c r="R68" s="32">
        <v>573482811171</v>
      </c>
      <c r="S68" s="897">
        <f t="shared" si="24"/>
        <v>-3.2926765368570138E-7</v>
      </c>
      <c r="T68" s="898">
        <f t="shared" si="25"/>
        <v>2.975856538596263E-10</v>
      </c>
      <c r="U68" s="898">
        <f t="shared" si="26"/>
        <v>-3.2926765359122793E-7</v>
      </c>
      <c r="V68" s="898">
        <f t="shared" si="27"/>
        <v>-3.2926765373486471E-7</v>
      </c>
      <c r="W68" s="899">
        <f t="shared" si="28"/>
        <v>-5.9238336889996816E-13</v>
      </c>
    </row>
    <row r="69" spans="3:23" ht="15.75" thickBot="1" x14ac:dyDescent="0.3">
      <c r="C69" s="1091">
        <v>89</v>
      </c>
      <c r="D69" s="1052" t="s">
        <v>99</v>
      </c>
      <c r="E69" s="1053">
        <f>C69/1000000</f>
        <v>8.8999999999999995E-5</v>
      </c>
      <c r="F69" s="1051">
        <v>405</v>
      </c>
      <c r="G69" s="1054" t="s">
        <v>24</v>
      </c>
      <c r="H69" s="1055">
        <f>F69*0.74569987158227*1000</f>
        <v>302008.4479908194</v>
      </c>
      <c r="I69" s="1064">
        <f t="shared" si="19"/>
        <v>3393353.3482114542</v>
      </c>
      <c r="J69" s="1066">
        <f t="shared" si="20"/>
        <v>3393353348211.4546</v>
      </c>
      <c r="K69" s="1066">
        <f t="shared" si="21"/>
        <v>3393.3533482114544</v>
      </c>
      <c r="L69" s="1066">
        <f t="shared" si="22"/>
        <v>3393353348.2114544</v>
      </c>
      <c r="M69" s="954">
        <f t="shared" si="23"/>
        <v>3393353348211454.5</v>
      </c>
      <c r="N69" s="1065">
        <v>3393353</v>
      </c>
      <c r="O69" s="1066">
        <v>3393353348211</v>
      </c>
      <c r="P69" s="1066">
        <v>3393.35</v>
      </c>
      <c r="Q69" s="1066">
        <v>3393353348</v>
      </c>
      <c r="R69" s="2138">
        <v>3393353348211460</v>
      </c>
      <c r="S69" s="911">
        <f t="shared" si="24"/>
        <v>1.0261573685248536E-7</v>
      </c>
      <c r="T69" s="912">
        <f t="shared" si="25"/>
        <v>1.3396478265064912E-13</v>
      </c>
      <c r="U69" s="912">
        <f t="shared" si="26"/>
        <v>9.8669696637604665E-7</v>
      </c>
      <c r="V69" s="912">
        <f t="shared" si="27"/>
        <v>6.2314286129661125E-11</v>
      </c>
      <c r="W69" s="913">
        <f t="shared" si="28"/>
        <v>-1.6208155873006572E-15</v>
      </c>
    </row>
    <row r="70" spans="3:23" ht="15.75" thickTop="1" x14ac:dyDescent="0.25">
      <c r="C70" s="2239">
        <v>5</v>
      </c>
      <c r="D70" s="2233" t="s">
        <v>87</v>
      </c>
      <c r="E70" s="2234">
        <f>C70</f>
        <v>5</v>
      </c>
      <c r="F70" s="2232">
        <v>685</v>
      </c>
      <c r="G70" s="2241" t="s">
        <v>19</v>
      </c>
      <c r="H70" s="2234">
        <f>F70* 9.80665</f>
        <v>6717.5552499999994</v>
      </c>
      <c r="I70" s="2232">
        <f t="shared" si="19"/>
        <v>1.3435110499999998</v>
      </c>
      <c r="J70" s="2241">
        <f t="shared" si="20"/>
        <v>1343511.0499999998</v>
      </c>
      <c r="K70" s="2264">
        <f t="shared" si="21"/>
        <v>1.3435110499999999E-3</v>
      </c>
      <c r="L70" s="2241">
        <f t="shared" si="22"/>
        <v>1343.5110499999998</v>
      </c>
      <c r="M70" s="2235">
        <f t="shared" si="23"/>
        <v>1343511049.9999998</v>
      </c>
      <c r="N70" s="2234">
        <v>1.34351</v>
      </c>
      <c r="O70" s="2241">
        <v>1343511</v>
      </c>
      <c r="P70" s="2241">
        <v>1.34351E-3</v>
      </c>
      <c r="Q70" s="2241">
        <v>1343.51</v>
      </c>
      <c r="R70" s="2234">
        <v>1343511050</v>
      </c>
      <c r="S70" s="2243">
        <f t="shared" si="24"/>
        <v>7.8153432369306125E-7</v>
      </c>
      <c r="T70" s="2244">
        <f t="shared" si="25"/>
        <v>3.7215920043036111E-8</v>
      </c>
      <c r="U70" s="2244">
        <f t="shared" si="26"/>
        <v>7.8153432375891171E-7</v>
      </c>
      <c r="V70" s="2244">
        <f t="shared" si="27"/>
        <v>7.8153432370363858E-7</v>
      </c>
      <c r="W70" s="2245">
        <f t="shared" si="28"/>
        <v>-1.7745933619344816E-16</v>
      </c>
    </row>
    <row r="71" spans="3:23" x14ac:dyDescent="0.25">
      <c r="C71" s="2249">
        <v>21</v>
      </c>
      <c r="D71" s="2247" t="s">
        <v>97</v>
      </c>
      <c r="E71" s="2250">
        <f>C71*1000</f>
        <v>21000</v>
      </c>
      <c r="F71" s="2249">
        <v>780</v>
      </c>
      <c r="G71" s="2252" t="s">
        <v>19</v>
      </c>
      <c r="H71" s="2250">
        <f>F71* 9.80665</f>
        <v>7649.1869999999999</v>
      </c>
      <c r="I71" s="2246">
        <f t="shared" si="19"/>
        <v>3.64247E-4</v>
      </c>
      <c r="J71" s="2252">
        <f t="shared" si="20"/>
        <v>364.24700000000001</v>
      </c>
      <c r="K71" s="2265">
        <f t="shared" si="21"/>
        <v>3.6424699999999997E-7</v>
      </c>
      <c r="L71" s="2252">
        <f t="shared" si="22"/>
        <v>0.36424699999999999</v>
      </c>
      <c r="M71" s="2248">
        <f t="shared" si="23"/>
        <v>364247</v>
      </c>
      <c r="N71" s="2250">
        <v>3.64247E-4</v>
      </c>
      <c r="O71" s="2252">
        <v>364.24700000000001</v>
      </c>
      <c r="P71" s="2257">
        <v>3.6424700000000002E-7</v>
      </c>
      <c r="Q71" s="2252">
        <v>0.36424699999999999</v>
      </c>
      <c r="R71" s="2250">
        <v>364247</v>
      </c>
      <c r="S71" s="2253">
        <f t="shared" si="24"/>
        <v>0</v>
      </c>
      <c r="T71" s="2254">
        <f t="shared" si="25"/>
        <v>0</v>
      </c>
      <c r="U71" s="2254">
        <f t="shared" si="26"/>
        <v>-1.4533972607432259E-16</v>
      </c>
      <c r="V71" s="2254">
        <f t="shared" si="27"/>
        <v>0</v>
      </c>
      <c r="W71" s="2255">
        <f t="shared" si="28"/>
        <v>0</v>
      </c>
    </row>
    <row r="72" spans="3:23" x14ac:dyDescent="0.25">
      <c r="C72" s="2249">
        <v>245</v>
      </c>
      <c r="D72" s="2247" t="s">
        <v>98</v>
      </c>
      <c r="E72" s="2250">
        <f>C72/1000</f>
        <v>0.245</v>
      </c>
      <c r="F72" s="2249">
        <v>560</v>
      </c>
      <c r="G72" s="2252" t="s">
        <v>19</v>
      </c>
      <c r="H72" s="2250">
        <f>F72* 9.80665</f>
        <v>5491.7239999999993</v>
      </c>
      <c r="I72" s="2246">
        <f t="shared" si="19"/>
        <v>22.415199999999999</v>
      </c>
      <c r="J72" s="2252">
        <f t="shared" si="20"/>
        <v>22415199.999999996</v>
      </c>
      <c r="K72" s="2265">
        <f t="shared" si="21"/>
        <v>2.2415199999999996E-2</v>
      </c>
      <c r="L72" s="2252">
        <f t="shared" si="22"/>
        <v>22415.199999999997</v>
      </c>
      <c r="M72" s="2248">
        <f t="shared" si="23"/>
        <v>22415199999.999996</v>
      </c>
      <c r="N72" s="2250">
        <v>22.415199999999999</v>
      </c>
      <c r="O72" s="2252">
        <v>22415200</v>
      </c>
      <c r="P72" s="2252">
        <v>2.24152E-2</v>
      </c>
      <c r="Q72" s="2252">
        <v>22415.200000000001</v>
      </c>
      <c r="R72" s="2250">
        <v>22415200000</v>
      </c>
      <c r="S72" s="2253">
        <f t="shared" si="24"/>
        <v>0</v>
      </c>
      <c r="T72" s="2254">
        <f t="shared" si="25"/>
        <v>-1.6619482754835623E-16</v>
      </c>
      <c r="U72" s="2254">
        <f t="shared" si="26"/>
        <v>-1.5478099468011058E-16</v>
      </c>
      <c r="V72" s="2254">
        <f t="shared" si="27"/>
        <v>-1.6229963627769164E-16</v>
      </c>
      <c r="W72" s="2255">
        <f t="shared" si="28"/>
        <v>-1.7018350340951678E-16</v>
      </c>
    </row>
    <row r="73" spans="3:23" ht="15.75" thickBot="1" x14ac:dyDescent="0.3">
      <c r="C73" s="2258">
        <v>12445</v>
      </c>
      <c r="D73" s="2236" t="s">
        <v>99</v>
      </c>
      <c r="E73" s="2237">
        <f>C73/1000000</f>
        <v>1.2444999999999999E-2</v>
      </c>
      <c r="F73" s="2258">
        <v>51</v>
      </c>
      <c r="G73" s="2260" t="s">
        <v>19</v>
      </c>
      <c r="H73" s="2237">
        <f>F73* 9.80665</f>
        <v>500.13914999999997</v>
      </c>
      <c r="I73" s="2226">
        <f t="shared" si="19"/>
        <v>40.187959019686616</v>
      </c>
      <c r="J73" s="2260">
        <f t="shared" si="20"/>
        <v>40187959.019686617</v>
      </c>
      <c r="K73" s="2227">
        <f t="shared" si="21"/>
        <v>4.0187959019686623E-2</v>
      </c>
      <c r="L73" s="2260">
        <f t="shared" si="22"/>
        <v>40187.959019686619</v>
      </c>
      <c r="M73" s="2238">
        <f t="shared" si="23"/>
        <v>40187959019.686623</v>
      </c>
      <c r="N73" s="2237">
        <v>40.188000000000002</v>
      </c>
      <c r="O73" s="2260">
        <v>40187959</v>
      </c>
      <c r="P73" s="2260">
        <v>4.0188000000000001E-2</v>
      </c>
      <c r="Q73" s="2260">
        <v>40188</v>
      </c>
      <c r="R73" s="2237">
        <v>40187959020</v>
      </c>
      <c r="S73" s="2261">
        <f t="shared" si="24"/>
        <v>-1.0197162131625147E-6</v>
      </c>
      <c r="T73" s="2262">
        <f t="shared" si="25"/>
        <v>4.8986356703369525E-10</v>
      </c>
      <c r="U73" s="2262">
        <f t="shared" si="26"/>
        <v>-1.0197162129774219E-6</v>
      </c>
      <c r="V73" s="2262">
        <f t="shared" si="27"/>
        <v>-1.0197162130238995E-6</v>
      </c>
      <c r="W73" s="2263">
        <f t="shared" si="28"/>
        <v>-7.7977928716803349E-12</v>
      </c>
    </row>
    <row r="74" spans="3:23" ht="15.75" thickTop="1" x14ac:dyDescent="0.25">
      <c r="C74" s="2426">
        <v>6544</v>
      </c>
      <c r="D74" s="1892" t="s">
        <v>87</v>
      </c>
      <c r="E74" s="1893">
        <f>C74</f>
        <v>6544</v>
      </c>
      <c r="F74" s="2426">
        <v>981</v>
      </c>
      <c r="G74" s="2427" t="s">
        <v>18</v>
      </c>
      <c r="H74" s="2425">
        <f>F74*1000</f>
        <v>981000</v>
      </c>
      <c r="I74" s="1900">
        <f t="shared" si="19"/>
        <v>0.14990831295843521</v>
      </c>
      <c r="J74" s="2427">
        <f t="shared" si="20"/>
        <v>149908.31295843521</v>
      </c>
      <c r="K74" s="2427">
        <f t="shared" si="21"/>
        <v>1.4990831295843521E-4</v>
      </c>
      <c r="L74" s="2427">
        <f t="shared" si="22"/>
        <v>149.9083129584352</v>
      </c>
      <c r="M74" s="2425">
        <f t="shared" si="23"/>
        <v>149908312.95843521</v>
      </c>
      <c r="N74" s="1893">
        <v>0.14990800000000001</v>
      </c>
      <c r="O74" s="2427">
        <v>149908</v>
      </c>
      <c r="P74" s="2427">
        <v>1.49908E-4</v>
      </c>
      <c r="Q74" s="2427">
        <v>149.90799999999999</v>
      </c>
      <c r="R74" s="1893">
        <v>149908313</v>
      </c>
      <c r="S74" s="1807">
        <f t="shared" si="24"/>
        <v>2.0876656472106774E-6</v>
      </c>
      <c r="T74" s="1808">
        <f t="shared" si="25"/>
        <v>2.0876656473375985E-6</v>
      </c>
      <c r="U74" s="1808">
        <f t="shared" si="26"/>
        <v>2.0876656473032526E-6</v>
      </c>
      <c r="V74" s="1808">
        <f t="shared" si="27"/>
        <v>2.0876656473573166E-6</v>
      </c>
      <c r="W74" s="1809">
        <f t="shared" si="28"/>
        <v>-2.7726809524007284E-10</v>
      </c>
    </row>
    <row r="75" spans="3:23" x14ac:dyDescent="0.25">
      <c r="C75" s="1796">
        <v>876</v>
      </c>
      <c r="D75" s="1797" t="s">
        <v>97</v>
      </c>
      <c r="E75" s="1798">
        <f>C75*1000</f>
        <v>876000</v>
      </c>
      <c r="F75" s="1841">
        <v>470</v>
      </c>
      <c r="G75" s="1842" t="s">
        <v>18</v>
      </c>
      <c r="H75" s="1800">
        <f>F75*1000</f>
        <v>470000</v>
      </c>
      <c r="I75" s="1841">
        <f t="shared" si="19"/>
        <v>5.3652968036529676E-4</v>
      </c>
      <c r="J75" s="1842">
        <f t="shared" si="20"/>
        <v>536.52968036529683</v>
      </c>
      <c r="K75" s="1842">
        <f t="shared" si="21"/>
        <v>5.3652968036529678E-7</v>
      </c>
      <c r="L75" s="1842">
        <f t="shared" si="22"/>
        <v>0.5365296803652968</v>
      </c>
      <c r="M75" s="1800">
        <f t="shared" si="23"/>
        <v>536529.68036529678</v>
      </c>
      <c r="N75" s="1798">
        <v>5.3653000000000001E-4</v>
      </c>
      <c r="O75" s="1842">
        <v>536.53</v>
      </c>
      <c r="P75" s="1885">
        <v>5.3652968036529699E-7</v>
      </c>
      <c r="Q75" s="1842">
        <v>0.53652999999999995</v>
      </c>
      <c r="R75" s="1798">
        <v>536530</v>
      </c>
      <c r="S75" s="1845">
        <f t="shared" si="24"/>
        <v>-5.9574468095825287E-7</v>
      </c>
      <c r="T75" s="1847">
        <f t="shared" si="25"/>
        <v>-5.9574468075763746E-7</v>
      </c>
      <c r="U75" s="1847">
        <f t="shared" si="26"/>
        <v>-3.9468130946530164E-16</v>
      </c>
      <c r="V75" s="1847">
        <f t="shared" si="27"/>
        <v>-5.9574468076425914E-7</v>
      </c>
      <c r="W75" s="1848">
        <f t="shared" si="28"/>
        <v>-5.9574468089663927E-7</v>
      </c>
    </row>
    <row r="76" spans="3:23" x14ac:dyDescent="0.25">
      <c r="C76" s="1796">
        <v>98</v>
      </c>
      <c r="D76" s="1797" t="s">
        <v>98</v>
      </c>
      <c r="E76" s="1798">
        <f>C76/1000</f>
        <v>9.8000000000000004E-2</v>
      </c>
      <c r="F76" s="1841">
        <v>789</v>
      </c>
      <c r="G76" s="1842" t="s">
        <v>18</v>
      </c>
      <c r="H76" s="1800">
        <f>F76*1000</f>
        <v>789000</v>
      </c>
      <c r="I76" s="1841">
        <f t="shared" si="19"/>
        <v>8051.0204081632655</v>
      </c>
      <c r="J76" s="1842">
        <f t="shared" si="20"/>
        <v>8051020408.1632652</v>
      </c>
      <c r="K76" s="1842">
        <f t="shared" si="21"/>
        <v>8.0510204081632661</v>
      </c>
      <c r="L76" s="1842">
        <f t="shared" si="22"/>
        <v>8051020.4081632653</v>
      </c>
      <c r="M76" s="1800">
        <f t="shared" si="23"/>
        <v>8051020408163.2656</v>
      </c>
      <c r="N76" s="1798">
        <v>8051.02</v>
      </c>
      <c r="O76" s="1842">
        <v>8051020408</v>
      </c>
      <c r="P76" s="1842">
        <v>8.0510199999999994</v>
      </c>
      <c r="Q76" s="1842">
        <v>8051020</v>
      </c>
      <c r="R76" s="1798">
        <v>8051020408163</v>
      </c>
      <c r="S76" s="1845">
        <f t="shared" si="24"/>
        <v>5.0697084891058604E-8</v>
      </c>
      <c r="T76" s="1847">
        <f t="shared" si="25"/>
        <v>2.0278824297345335E-11</v>
      </c>
      <c r="U76" s="1847">
        <f t="shared" si="26"/>
        <v>5.0697085095810184E-8</v>
      </c>
      <c r="V76" s="1847">
        <f t="shared" si="27"/>
        <v>5.0697084919978003E-8</v>
      </c>
      <c r="W76" s="1848">
        <f t="shared" si="28"/>
        <v>3.2992712294043091E-14</v>
      </c>
    </row>
    <row r="77" spans="3:23" ht="15.75" thickBot="1" x14ac:dyDescent="0.3">
      <c r="C77" s="1908">
        <v>13</v>
      </c>
      <c r="D77" s="1909" t="s">
        <v>99</v>
      </c>
      <c r="E77" s="1910">
        <f>C77/1000000</f>
        <v>1.2999999999999999E-5</v>
      </c>
      <c r="F77" s="1911">
        <v>2005</v>
      </c>
      <c r="G77" s="2430" t="s">
        <v>18</v>
      </c>
      <c r="H77" s="2429">
        <f>F77*1000</f>
        <v>2005000</v>
      </c>
      <c r="I77" s="1911">
        <f t="shared" si="19"/>
        <v>154230769.23076922</v>
      </c>
      <c r="J77" s="2430">
        <f t="shared" si="20"/>
        <v>154230769230769.22</v>
      </c>
      <c r="K77" s="2430">
        <f t="shared" si="21"/>
        <v>154230.76923076922</v>
      </c>
      <c r="L77" s="2430">
        <f t="shared" si="22"/>
        <v>154230769230.76923</v>
      </c>
      <c r="M77" s="2429">
        <f t="shared" si="23"/>
        <v>1.5423076923076922E+17</v>
      </c>
      <c r="N77" s="1910">
        <v>154230769</v>
      </c>
      <c r="O77" s="2430">
        <v>154230769230769</v>
      </c>
      <c r="P77" s="2430">
        <v>154231</v>
      </c>
      <c r="Q77" s="2430">
        <v>154230769231</v>
      </c>
      <c r="R77" s="2465">
        <v>1.5423076923076899E+17</v>
      </c>
      <c r="S77" s="1914">
        <f t="shared" si="24"/>
        <v>1.4962592624369406E-9</v>
      </c>
      <c r="T77" s="2431">
        <f t="shared" si="25"/>
        <v>1.4183291770573568E-15</v>
      </c>
      <c r="U77" s="2431">
        <f t="shared" si="26"/>
        <v>-1.4962593516935258E-6</v>
      </c>
      <c r="V77" s="2431">
        <f t="shared" si="27"/>
        <v>-1.4962897930953867E-12</v>
      </c>
      <c r="W77" s="2432">
        <f t="shared" si="28"/>
        <v>1.4523690773067334E-15</v>
      </c>
    </row>
    <row r="78" spans="3:23" ht="15.75" thickTop="1" x14ac:dyDescent="0.25">
      <c r="C78" s="382">
        <v>454</v>
      </c>
      <c r="D78" s="383" t="s">
        <v>87</v>
      </c>
      <c r="E78" s="384">
        <f>C78</f>
        <v>454</v>
      </c>
      <c r="F78" s="420">
        <v>3340</v>
      </c>
      <c r="G78" s="421" t="s">
        <v>20</v>
      </c>
      <c r="H78" s="2164">
        <f>F78/1000</f>
        <v>3.34</v>
      </c>
      <c r="I78" s="420">
        <f t="shared" si="19"/>
        <v>7.3568281938325984E-6</v>
      </c>
      <c r="J78" s="421">
        <f t="shared" si="20"/>
        <v>7.3568281938325981</v>
      </c>
      <c r="K78" s="728">
        <f t="shared" si="21"/>
        <v>7.3568281938325984E-9</v>
      </c>
      <c r="L78" s="421">
        <f t="shared" si="22"/>
        <v>7.3568281938325986E-3</v>
      </c>
      <c r="M78" s="390">
        <f t="shared" si="23"/>
        <v>7356.8281938325981</v>
      </c>
      <c r="N78" s="751">
        <v>7.3568281938326E-6</v>
      </c>
      <c r="O78" s="421">
        <v>7.3568300000000004</v>
      </c>
      <c r="P78" s="748">
        <v>7.3568281938326E-9</v>
      </c>
      <c r="Q78" s="421">
        <v>7.35683E-3</v>
      </c>
      <c r="R78" s="384">
        <v>7356.83</v>
      </c>
      <c r="S78" s="210">
        <f t="shared" si="24"/>
        <v>-2.3027123236733679E-16</v>
      </c>
      <c r="T78" s="211">
        <f t="shared" si="25"/>
        <v>-2.4550898222979791E-7</v>
      </c>
      <c r="U78" s="211">
        <f t="shared" si="26"/>
        <v>-2.2487425035872732E-16</v>
      </c>
      <c r="V78" s="211">
        <f t="shared" si="27"/>
        <v>-2.4550898210718312E-7</v>
      </c>
      <c r="W78" s="212">
        <f t="shared" si="28"/>
        <v>-2.4550898216219002E-7</v>
      </c>
    </row>
    <row r="79" spans="3:23" x14ac:dyDescent="0.25">
      <c r="C79" s="213">
        <v>686</v>
      </c>
      <c r="D79" s="214" t="s">
        <v>97</v>
      </c>
      <c r="E79" s="215">
        <f>C79*1000</f>
        <v>686000</v>
      </c>
      <c r="F79" s="412">
        <v>142</v>
      </c>
      <c r="G79" s="274" t="s">
        <v>20</v>
      </c>
      <c r="H79" s="373">
        <f>F79/1000</f>
        <v>0.14199999999999999</v>
      </c>
      <c r="I79" s="412">
        <f t="shared" si="19"/>
        <v>2.0699708454810492E-10</v>
      </c>
      <c r="J79" s="274">
        <f t="shared" si="20"/>
        <v>2.0699708454810492E-4</v>
      </c>
      <c r="K79" s="724">
        <f t="shared" si="21"/>
        <v>2.0699708454810492E-13</v>
      </c>
      <c r="L79" s="274">
        <f t="shared" si="22"/>
        <v>2.0699708454810493E-7</v>
      </c>
      <c r="M79" s="216">
        <f t="shared" si="23"/>
        <v>0.20699708454810492</v>
      </c>
      <c r="N79" s="741">
        <v>2.06997084548105E-10</v>
      </c>
      <c r="O79" s="274">
        <v>2.06997E-4</v>
      </c>
      <c r="P79" s="742">
        <v>2.06997084548105E-13</v>
      </c>
      <c r="Q79" s="742">
        <v>2.0699708454810501E-7</v>
      </c>
      <c r="R79" s="215">
        <v>0.20699699999999999</v>
      </c>
      <c r="S79" s="221">
        <f t="shared" si="24"/>
        <v>-3.7463417707617326E-16</v>
      </c>
      <c r="T79" s="222">
        <f t="shared" si="25"/>
        <v>4.0845070408251466E-7</v>
      </c>
      <c r="U79" s="222">
        <f t="shared" si="26"/>
        <v>-3.6585368855095042E-16</v>
      </c>
      <c r="V79" s="222">
        <f t="shared" si="27"/>
        <v>-3.8362539732600137E-16</v>
      </c>
      <c r="W79" s="223">
        <f t="shared" si="28"/>
        <v>4.0845070411708393E-7</v>
      </c>
    </row>
    <row r="80" spans="3:23" x14ac:dyDescent="0.25">
      <c r="C80" s="213">
        <v>980</v>
      </c>
      <c r="D80" s="214" t="s">
        <v>98</v>
      </c>
      <c r="E80" s="215">
        <f>C80/1000</f>
        <v>0.98</v>
      </c>
      <c r="F80" s="213">
        <v>560</v>
      </c>
      <c r="G80" s="274" t="s">
        <v>20</v>
      </c>
      <c r="H80" s="373">
        <f>F80/1000</f>
        <v>0.56000000000000005</v>
      </c>
      <c r="I80" s="412">
        <f t="shared" si="19"/>
        <v>5.7142857142857147E-4</v>
      </c>
      <c r="J80" s="274">
        <f t="shared" si="20"/>
        <v>571.42857142857156</v>
      </c>
      <c r="K80" s="724">
        <f t="shared" si="21"/>
        <v>5.7142857142857149E-7</v>
      </c>
      <c r="L80" s="274">
        <f t="shared" si="22"/>
        <v>0.57142857142857151</v>
      </c>
      <c r="M80" s="216">
        <f t="shared" si="23"/>
        <v>571428.57142857148</v>
      </c>
      <c r="N80" s="215">
        <v>5.7142900000000003E-4</v>
      </c>
      <c r="O80" s="274">
        <v>571.42899999999997</v>
      </c>
      <c r="P80" s="742">
        <v>5.7142857142857096E-7</v>
      </c>
      <c r="Q80" s="274">
        <v>0.57142899999999996</v>
      </c>
      <c r="R80" s="215">
        <v>571429</v>
      </c>
      <c r="S80" s="221">
        <f t="shared" si="24"/>
        <v>-7.4999999998470377E-7</v>
      </c>
      <c r="T80" s="222">
        <f t="shared" si="25"/>
        <v>-7.4999999972646926E-7</v>
      </c>
      <c r="U80" s="222">
        <f t="shared" si="26"/>
        <v>9.264422860593908E-16</v>
      </c>
      <c r="V80" s="222">
        <f t="shared" si="27"/>
        <v>-7.4999999979952204E-7</v>
      </c>
      <c r="W80" s="223">
        <f t="shared" si="28"/>
        <v>-7.4999999991268839E-7</v>
      </c>
    </row>
    <row r="81" spans="3:23" ht="15.75" thickBot="1" x14ac:dyDescent="0.3">
      <c r="C81" s="227">
        <v>1312</v>
      </c>
      <c r="D81" s="228" t="s">
        <v>99</v>
      </c>
      <c r="E81" s="229">
        <f>C81/1000000</f>
        <v>1.312E-3</v>
      </c>
      <c r="F81" s="227">
        <v>5840</v>
      </c>
      <c r="G81" s="423" t="s">
        <v>20</v>
      </c>
      <c r="H81" s="376">
        <f>F81/1000</f>
        <v>5.84</v>
      </c>
      <c r="I81" s="422">
        <f t="shared" si="19"/>
        <v>4.4512195121951219</v>
      </c>
      <c r="J81" s="423">
        <f t="shared" si="20"/>
        <v>4451219.5121951215</v>
      </c>
      <c r="K81" s="871">
        <f t="shared" si="21"/>
        <v>4.4512195121951216E-3</v>
      </c>
      <c r="L81" s="423">
        <f t="shared" si="22"/>
        <v>4451.2195121951218</v>
      </c>
      <c r="M81" s="230">
        <f t="shared" si="23"/>
        <v>4451219512.1951218</v>
      </c>
      <c r="N81" s="229">
        <v>4.4512200000000002</v>
      </c>
      <c r="O81" s="423">
        <v>4451220</v>
      </c>
      <c r="P81" s="423">
        <v>4.4512199999999997E-3</v>
      </c>
      <c r="Q81" s="423">
        <v>4451.22</v>
      </c>
      <c r="R81" s="229">
        <v>4451219512</v>
      </c>
      <c r="S81" s="437">
        <f t="shared" si="24"/>
        <v>-1.0958904114527566E-7</v>
      </c>
      <c r="T81" s="438">
        <f t="shared" si="25"/>
        <v>-1.0958904119795317E-7</v>
      </c>
      <c r="U81" s="438">
        <f t="shared" si="26"/>
        <v>-1.0958904110474492E-7</v>
      </c>
      <c r="V81" s="438">
        <f t="shared" si="27"/>
        <v>-1.0958904119795317E-7</v>
      </c>
      <c r="W81" s="439">
        <f t="shared" si="28"/>
        <v>4.3835574633454627E-11</v>
      </c>
    </row>
    <row r="82" spans="3:23" ht="15.75" thickTop="1" x14ac:dyDescent="0.25">
      <c r="C82" s="2434">
        <v>456</v>
      </c>
      <c r="D82" s="2364" t="s">
        <v>87</v>
      </c>
      <c r="E82" s="2365">
        <f>C82</f>
        <v>456</v>
      </c>
      <c r="F82" s="2434">
        <v>7661</v>
      </c>
      <c r="G82" s="2438" t="s">
        <v>21</v>
      </c>
      <c r="H82" s="2435">
        <f>F82</f>
        <v>7661</v>
      </c>
      <c r="I82" s="2363">
        <f t="shared" si="19"/>
        <v>1.6800438596491229E-2</v>
      </c>
      <c r="J82" s="2438">
        <f t="shared" si="20"/>
        <v>16800.438596491229</v>
      </c>
      <c r="K82" s="2438">
        <f t="shared" si="21"/>
        <v>1.680043859649123E-5</v>
      </c>
      <c r="L82" s="2438">
        <f t="shared" si="22"/>
        <v>16.80043859649123</v>
      </c>
      <c r="M82" s="2366">
        <f t="shared" si="23"/>
        <v>16800438.596491229</v>
      </c>
      <c r="N82" s="2365">
        <v>1.68004E-2</v>
      </c>
      <c r="O82" s="2438">
        <v>16800.400000000001</v>
      </c>
      <c r="P82" s="2437">
        <v>1.6800438596491199E-5</v>
      </c>
      <c r="Q82" s="2438">
        <v>16.8004</v>
      </c>
      <c r="R82" s="2365">
        <v>16800439</v>
      </c>
      <c r="S82" s="2439">
        <f t="shared" si="24"/>
        <v>2.2973502154172837E-6</v>
      </c>
      <c r="T82" s="2440">
        <f t="shared" si="25"/>
        <v>2.2973502153431518E-6</v>
      </c>
      <c r="U82" s="2440">
        <f t="shared" si="26"/>
        <v>1.8150232165678885E-15</v>
      </c>
      <c r="V82" s="2440">
        <f t="shared" si="27"/>
        <v>2.297350215475106E-6</v>
      </c>
      <c r="W82" s="2441">
        <f t="shared" si="28"/>
        <v>-2.401775220887279E-8</v>
      </c>
    </row>
    <row r="83" spans="3:23" x14ac:dyDescent="0.25">
      <c r="C83" s="2445">
        <v>68</v>
      </c>
      <c r="D83" s="2443" t="s">
        <v>97</v>
      </c>
      <c r="E83" s="2448">
        <f>C83*1000</f>
        <v>68000</v>
      </c>
      <c r="F83" s="2445">
        <v>94</v>
      </c>
      <c r="G83" s="2447" t="s">
        <v>21</v>
      </c>
      <c r="H83" s="2446">
        <f>F83</f>
        <v>94</v>
      </c>
      <c r="I83" s="2442">
        <f t="shared" si="19"/>
        <v>1.3823529411764706E-6</v>
      </c>
      <c r="J83" s="2447">
        <f t="shared" si="20"/>
        <v>1.3823529411764706</v>
      </c>
      <c r="K83" s="2447">
        <f t="shared" si="21"/>
        <v>1.3823529411764706E-9</v>
      </c>
      <c r="L83" s="2447">
        <f t="shared" si="22"/>
        <v>1.3823529411764706E-3</v>
      </c>
      <c r="M83" s="2444">
        <f t="shared" si="23"/>
        <v>1382.3529411764707</v>
      </c>
      <c r="N83" s="2452">
        <v>1.38235294117647E-6</v>
      </c>
      <c r="O83" s="2447">
        <v>1.38235</v>
      </c>
      <c r="P83" s="2453">
        <v>1.38235294117647E-9</v>
      </c>
      <c r="Q83" s="2447">
        <v>1.3823500000000001E-3</v>
      </c>
      <c r="R83" s="2448">
        <v>1382.35</v>
      </c>
      <c r="S83" s="2449">
        <f t="shared" si="24"/>
        <v>4.5956042882946081E-16</v>
      </c>
      <c r="T83" s="2450">
        <f t="shared" si="25"/>
        <v>2.127659574472575E-6</v>
      </c>
      <c r="U83" s="2450">
        <f t="shared" si="26"/>
        <v>4.4878948127877029E-16</v>
      </c>
      <c r="V83" s="2450">
        <f t="shared" si="27"/>
        <v>2.1276595744462221E-6</v>
      </c>
      <c r="W83" s="2451">
        <f t="shared" si="28"/>
        <v>2.127659574630633E-6</v>
      </c>
    </row>
    <row r="84" spans="3:23" x14ac:dyDescent="0.25">
      <c r="C84" s="2445">
        <v>943</v>
      </c>
      <c r="D84" s="2443" t="s">
        <v>98</v>
      </c>
      <c r="E84" s="2448">
        <f>C84/1000</f>
        <v>0.94299999999999995</v>
      </c>
      <c r="F84" s="2442">
        <v>3863</v>
      </c>
      <c r="G84" s="2447" t="s">
        <v>21</v>
      </c>
      <c r="H84" s="2444">
        <f>F84</f>
        <v>3863</v>
      </c>
      <c r="I84" s="2442">
        <f t="shared" si="19"/>
        <v>4.096500530222694</v>
      </c>
      <c r="J84" s="2447">
        <f t="shared" si="20"/>
        <v>4096500.5302226935</v>
      </c>
      <c r="K84" s="2447">
        <f t="shared" si="21"/>
        <v>4.0965005302226933E-3</v>
      </c>
      <c r="L84" s="2447">
        <f t="shared" si="22"/>
        <v>4096.5005302226937</v>
      </c>
      <c r="M84" s="2444">
        <f t="shared" si="23"/>
        <v>4096500530.2226934</v>
      </c>
      <c r="N84" s="2448">
        <v>4.0964999999999998</v>
      </c>
      <c r="O84" s="2447">
        <v>4096501</v>
      </c>
      <c r="P84" s="2447">
        <v>4.0965000000000003E-3</v>
      </c>
      <c r="Q84" s="2447">
        <v>4096.5</v>
      </c>
      <c r="R84" s="2448">
        <v>4096500530</v>
      </c>
      <c r="S84" s="2449">
        <f t="shared" si="24"/>
        <v>1.2943308325806074E-7</v>
      </c>
      <c r="T84" s="2450">
        <f t="shared" si="25"/>
        <v>-1.1467771164093137E-7</v>
      </c>
      <c r="U84" s="2450">
        <f t="shared" si="26"/>
        <v>1.2943308296841089E-7</v>
      </c>
      <c r="V84" s="2450">
        <f t="shared" si="27"/>
        <v>1.294330831297069E-7</v>
      </c>
      <c r="W84" s="2451">
        <f t="shared" si="28"/>
        <v>5.4361873422297302E-11</v>
      </c>
    </row>
    <row r="85" spans="3:23" ht="15.75" thickBot="1" x14ac:dyDescent="0.3">
      <c r="C85" s="2464">
        <v>1513</v>
      </c>
      <c r="D85" s="2455" t="s">
        <v>99</v>
      </c>
      <c r="E85" s="2460">
        <f>C85/1000000</f>
        <v>1.513E-3</v>
      </c>
      <c r="F85" s="2369">
        <v>44</v>
      </c>
      <c r="G85" s="2459" t="s">
        <v>21</v>
      </c>
      <c r="H85" s="2456">
        <f>F85</f>
        <v>44</v>
      </c>
      <c r="I85" s="2454">
        <f t="shared" si="19"/>
        <v>29.081295439524126</v>
      </c>
      <c r="J85" s="2459">
        <f t="shared" si="20"/>
        <v>29081295.439524125</v>
      </c>
      <c r="K85" s="2459">
        <f t="shared" si="21"/>
        <v>2.9081295439524125E-2</v>
      </c>
      <c r="L85" s="2459">
        <f t="shared" si="22"/>
        <v>29081.295439524125</v>
      </c>
      <c r="M85" s="2456">
        <f t="shared" si="23"/>
        <v>29081295439.524124</v>
      </c>
      <c r="N85" s="2460">
        <v>29.081299999999999</v>
      </c>
      <c r="O85" s="2459">
        <v>29081295</v>
      </c>
      <c r="P85" s="2459">
        <v>2.9081300000000001E-2</v>
      </c>
      <c r="Q85" s="2459">
        <v>29081.3</v>
      </c>
      <c r="R85" s="2460">
        <v>29081295440</v>
      </c>
      <c r="S85" s="2461">
        <f t="shared" si="24"/>
        <v>-1.5681818170647105E-7</v>
      </c>
      <c r="T85" s="2462">
        <f t="shared" si="25"/>
        <v>1.5113636399788611E-8</v>
      </c>
      <c r="U85" s="2462">
        <f t="shared" si="26"/>
        <v>-1.5681818180668444E-7</v>
      </c>
      <c r="V85" s="2462">
        <f t="shared" si="27"/>
        <v>-1.5681818176901948E-7</v>
      </c>
      <c r="W85" s="2463">
        <f t="shared" si="28"/>
        <v>-1.6363640178333629E-11</v>
      </c>
    </row>
    <row r="86" spans="3:23" ht="15.75" thickTop="1" x14ac:dyDescent="0.25"/>
  </sheetData>
  <mergeCells count="31">
    <mergeCell ref="S8:W8"/>
    <mergeCell ref="I9:M9"/>
    <mergeCell ref="N9:R9"/>
    <mergeCell ref="S9:W9"/>
    <mergeCell ref="C33:H33"/>
    <mergeCell ref="I33:L33"/>
    <mergeCell ref="M33:P33"/>
    <mergeCell ref="Q33:T33"/>
    <mergeCell ref="I8:M8"/>
    <mergeCell ref="N8:R8"/>
    <mergeCell ref="C34:E34"/>
    <mergeCell ref="F34:H34"/>
    <mergeCell ref="I34:L34"/>
    <mergeCell ref="M34:P34"/>
    <mergeCell ref="Q34:T34"/>
    <mergeCell ref="C2:J2"/>
    <mergeCell ref="C4:E4"/>
    <mergeCell ref="H4:I4"/>
    <mergeCell ref="C8:H8"/>
    <mergeCell ref="C9:E9"/>
    <mergeCell ref="F9:H9"/>
    <mergeCell ref="E6:G6"/>
    <mergeCell ref="S63:W63"/>
    <mergeCell ref="I64:M64"/>
    <mergeCell ref="N64:R64"/>
    <mergeCell ref="S64:W64"/>
    <mergeCell ref="C63:H63"/>
    <mergeCell ref="C64:E64"/>
    <mergeCell ref="F64:H64"/>
    <mergeCell ref="I63:M63"/>
    <mergeCell ref="N63:R63"/>
  </mergeCells>
  <conditionalFormatting sqref="S11:W30 Q36:T60 S66:W85">
    <cfRule type="cellIs" dxfId="2" priority="1" operator="notBetween">
      <formula>-0.001</formula>
      <formula>0.001</formula>
    </cfRule>
  </conditionalFormatting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AL59"/>
  <sheetViews>
    <sheetView zoomScaleNormal="100" workbookViewId="0">
      <selection activeCell="B2" sqref="B2"/>
    </sheetView>
  </sheetViews>
  <sheetFormatPr defaultColWidth="18.7109375" defaultRowHeight="15" x14ac:dyDescent="0.25"/>
  <cols>
    <col min="1" max="2" width="5.7109375" style="9" customWidth="1"/>
    <col min="3" max="3" width="12.7109375" style="9" customWidth="1"/>
    <col min="4" max="4" width="10.7109375" style="9" customWidth="1"/>
    <col min="5" max="5" width="18.7109375" style="9"/>
    <col min="6" max="6" width="12.7109375" style="9" customWidth="1"/>
    <col min="7" max="7" width="10.7109375" style="9" customWidth="1"/>
    <col min="8" max="16384" width="18.7109375" style="9"/>
  </cols>
  <sheetData>
    <row r="2" spans="3:38" ht="21" x14ac:dyDescent="0.35">
      <c r="C2" s="2490" t="s">
        <v>26</v>
      </c>
      <c r="D2" s="2491"/>
      <c r="E2" s="2491"/>
      <c r="F2" s="2491"/>
      <c r="G2" s="2491"/>
      <c r="H2" s="2491"/>
      <c r="I2" s="2491"/>
      <c r="J2" s="2491"/>
    </row>
    <row r="3" spans="3:38" x14ac:dyDescent="0.25">
      <c r="R3" s="689"/>
      <c r="S3" s="689"/>
      <c r="T3" s="689"/>
      <c r="U3" s="689"/>
      <c r="V3" s="689"/>
      <c r="W3" s="689"/>
      <c r="X3" s="689"/>
      <c r="Y3" s="689"/>
      <c r="Z3" s="689"/>
      <c r="AA3" s="689"/>
      <c r="AB3" s="689"/>
      <c r="AC3" s="689"/>
      <c r="AD3" s="689"/>
      <c r="AE3" s="689"/>
      <c r="AF3" s="689"/>
      <c r="AG3" s="689"/>
      <c r="AH3" s="689"/>
      <c r="AI3" s="689"/>
      <c r="AJ3" s="689"/>
      <c r="AK3" s="689"/>
      <c r="AL3" s="689"/>
    </row>
    <row r="4" spans="3:38" x14ac:dyDescent="0.25">
      <c r="C4" s="2501" t="s">
        <v>22</v>
      </c>
      <c r="D4" s="2502"/>
      <c r="E4" s="2503"/>
      <c r="F4" s="20"/>
      <c r="G4" s="20"/>
      <c r="H4" s="2501" t="s">
        <v>23</v>
      </c>
      <c r="I4" s="2503"/>
      <c r="R4" s="689"/>
      <c r="S4" s="689"/>
      <c r="T4" s="689"/>
      <c r="U4" s="689"/>
      <c r="V4" s="689"/>
      <c r="W4" s="689"/>
      <c r="X4" s="689"/>
      <c r="Y4" s="689"/>
      <c r="Z4" s="689"/>
      <c r="AA4" s="689"/>
      <c r="AB4" s="689"/>
      <c r="AC4" s="689"/>
      <c r="AD4" s="689"/>
      <c r="AE4" s="689"/>
      <c r="AF4" s="689"/>
      <c r="AG4" s="689"/>
      <c r="AH4" s="689"/>
      <c r="AI4" s="689"/>
      <c r="AJ4" s="689"/>
      <c r="AK4" s="689"/>
      <c r="AL4" s="689"/>
    </row>
    <row r="5" spans="3:38" ht="15.75" thickBot="1" x14ac:dyDescent="0.3"/>
    <row r="6" spans="3:38" ht="19.5" thickBot="1" x14ac:dyDescent="0.35">
      <c r="E6" s="2497" t="s">
        <v>132</v>
      </c>
      <c r="F6" s="2498"/>
      <c r="G6" s="2499"/>
    </row>
    <row r="7" spans="3:38" ht="15.75" thickBot="1" x14ac:dyDescent="0.3"/>
    <row r="8" spans="3:38" ht="15.75" thickTop="1" x14ac:dyDescent="0.25">
      <c r="C8" s="2488" t="s">
        <v>0</v>
      </c>
      <c r="D8" s="2489"/>
      <c r="E8" s="2489"/>
      <c r="F8" s="2489"/>
      <c r="G8" s="2489"/>
      <c r="H8" s="2489"/>
      <c r="I8" s="2483" t="s">
        <v>158</v>
      </c>
      <c r="J8" s="2484"/>
      <c r="K8" s="2484"/>
      <c r="L8" s="2484"/>
      <c r="M8" s="2485"/>
      <c r="N8" s="2488" t="s">
        <v>16</v>
      </c>
      <c r="O8" s="2489"/>
      <c r="P8" s="2489"/>
      <c r="Q8" s="2489"/>
      <c r="R8" s="2495"/>
      <c r="S8" s="2484" t="s">
        <v>8</v>
      </c>
      <c r="T8" s="2484"/>
      <c r="U8" s="2484"/>
      <c r="V8" s="2484"/>
      <c r="W8" s="2485"/>
    </row>
    <row r="9" spans="3:38" ht="15.75" thickBot="1" x14ac:dyDescent="0.3">
      <c r="C9" s="2486" t="s">
        <v>139</v>
      </c>
      <c r="D9" s="2487"/>
      <c r="E9" s="2487"/>
      <c r="F9" s="2486" t="s">
        <v>29</v>
      </c>
      <c r="G9" s="2487"/>
      <c r="H9" s="2496"/>
      <c r="I9" s="2480" t="s">
        <v>155</v>
      </c>
      <c r="J9" s="2481"/>
      <c r="K9" s="2481"/>
      <c r="L9" s="2481"/>
      <c r="M9" s="2482"/>
      <c r="N9" s="2486" t="s">
        <v>155</v>
      </c>
      <c r="O9" s="2487"/>
      <c r="P9" s="2487"/>
      <c r="Q9" s="2487"/>
      <c r="R9" s="2496"/>
      <c r="S9" s="2480" t="s">
        <v>155</v>
      </c>
      <c r="T9" s="2481"/>
      <c r="U9" s="2481"/>
      <c r="V9" s="2481"/>
      <c r="W9" s="2482"/>
    </row>
    <row r="10" spans="3:38" ht="15.75" thickBot="1" x14ac:dyDescent="0.3">
      <c r="C10" s="82" t="s">
        <v>3</v>
      </c>
      <c r="D10" s="66" t="s">
        <v>4</v>
      </c>
      <c r="E10" s="84" t="s">
        <v>85</v>
      </c>
      <c r="F10" s="82" t="s">
        <v>3</v>
      </c>
      <c r="G10" s="66" t="s">
        <v>4</v>
      </c>
      <c r="H10" s="84" t="s">
        <v>31</v>
      </c>
      <c r="I10" s="86" t="s">
        <v>24</v>
      </c>
      <c r="J10" s="87" t="s">
        <v>19</v>
      </c>
      <c r="K10" s="87" t="s">
        <v>18</v>
      </c>
      <c r="L10" s="87" t="s">
        <v>20</v>
      </c>
      <c r="M10" s="697" t="s">
        <v>21</v>
      </c>
      <c r="N10" s="698" t="s">
        <v>24</v>
      </c>
      <c r="O10" s="83" t="s">
        <v>19</v>
      </c>
      <c r="P10" s="83" t="s">
        <v>18</v>
      </c>
      <c r="Q10" s="83" t="s">
        <v>20</v>
      </c>
      <c r="R10" s="699" t="s">
        <v>21</v>
      </c>
      <c r="S10" s="700" t="s">
        <v>24</v>
      </c>
      <c r="T10" s="87" t="s">
        <v>19</v>
      </c>
      <c r="U10" s="87" t="s">
        <v>18</v>
      </c>
      <c r="V10" s="87" t="s">
        <v>20</v>
      </c>
      <c r="W10" s="88" t="s">
        <v>21</v>
      </c>
    </row>
    <row r="11" spans="3:38" ht="15.75" thickTop="1" x14ac:dyDescent="0.25">
      <c r="C11" s="1051">
        <v>540</v>
      </c>
      <c r="D11" s="1052" t="s">
        <v>84</v>
      </c>
      <c r="E11" s="1053">
        <f>C11*9.80665</f>
        <v>5295.5909999999994</v>
      </c>
      <c r="F11" s="1167">
        <v>6765</v>
      </c>
      <c r="G11" s="1052" t="s">
        <v>36</v>
      </c>
      <c r="H11" s="1055">
        <f>F11*1000/3600</f>
        <v>1879.1666666666667</v>
      </c>
      <c r="I11" s="1168">
        <f>M11/0.74569987158227/1000</f>
        <v>13344.910555482256</v>
      </c>
      <c r="J11" s="1169">
        <f>M11/9.80665</f>
        <v>1014749.9999999999</v>
      </c>
      <c r="K11" s="1169">
        <f>M11/1000</f>
        <v>9951.2980874999994</v>
      </c>
      <c r="L11" s="1243">
        <f>M11*1000</f>
        <v>9951298087.4999981</v>
      </c>
      <c r="M11" s="1244">
        <f>E11*H11</f>
        <v>9951298.0874999985</v>
      </c>
      <c r="N11" s="1245">
        <v>13344.9</v>
      </c>
      <c r="O11" s="1169">
        <v>1014750</v>
      </c>
      <c r="P11" s="1169">
        <v>9951.2999999999993</v>
      </c>
      <c r="Q11" s="1236">
        <v>9951298088</v>
      </c>
      <c r="R11" s="1220">
        <v>9951298</v>
      </c>
      <c r="S11" s="1183">
        <f xml:space="preserve"> (I11-N11)/I11</f>
        <v>7.909743727987017E-7</v>
      </c>
      <c r="T11" s="981">
        <f xml:space="preserve"> (J11-O11)/J11</f>
        <v>-1.1472315528645955E-16</v>
      </c>
      <c r="U11" s="981">
        <f xml:space="preserve"> (K11-P11)/K11</f>
        <v>-1.9218598247918333E-7</v>
      </c>
      <c r="V11" s="981">
        <f xml:space="preserve"> (L11-Q11)/L11</f>
        <v>-5.024489297297747E-11</v>
      </c>
      <c r="W11" s="982">
        <f xml:space="preserve"> (M11-R11)/M11</f>
        <v>8.7928225785733597E-9</v>
      </c>
    </row>
    <row r="12" spans="3:38" ht="15.75" thickBot="1" x14ac:dyDescent="0.3">
      <c r="C12" s="1064">
        <v>600</v>
      </c>
      <c r="D12" s="953" t="s">
        <v>85</v>
      </c>
      <c r="E12" s="1065">
        <f>C12</f>
        <v>600</v>
      </c>
      <c r="F12" s="976">
        <v>787</v>
      </c>
      <c r="G12" s="953" t="s">
        <v>36</v>
      </c>
      <c r="H12" s="954">
        <f>F12*1000/3600</f>
        <v>218.61111111111111</v>
      </c>
      <c r="I12" s="1177">
        <f t="shared" ref="I12:I18" si="0">M12/0.74569987158227/1000</f>
        <v>175.89739741854785</v>
      </c>
      <c r="J12" s="1178">
        <f t="shared" ref="J12:J18" si="1">M12/9.80665</f>
        <v>13375.277660227159</v>
      </c>
      <c r="K12" s="1178">
        <f t="shared" ref="K12:K18" si="2">M12/1000</f>
        <v>131.16666666666666</v>
      </c>
      <c r="L12" s="1246">
        <f t="shared" ref="L12:L18" si="3">M12*1000</f>
        <v>131166666.66666666</v>
      </c>
      <c r="M12" s="1247">
        <f t="shared" ref="M12:M18" si="4">E12*H12</f>
        <v>131166.66666666666</v>
      </c>
      <c r="N12" s="1189">
        <v>175.89699999999999</v>
      </c>
      <c r="O12" s="1066">
        <v>13375.3</v>
      </c>
      <c r="P12" s="1066">
        <v>131.167</v>
      </c>
      <c r="Q12" s="1066">
        <v>131166667</v>
      </c>
      <c r="R12" s="1240">
        <v>131167</v>
      </c>
      <c r="S12" s="1190">
        <f t="shared" ref="S12:S18" si="5" xml:space="preserve"> (I12-N12)/I12</f>
        <v>2.2593770783140921E-6</v>
      </c>
      <c r="T12" s="912">
        <f t="shared" ref="T12:T18" si="6" xml:space="preserve"> (J12-O12)/J12</f>
        <v>-1.6702287165914989E-6</v>
      </c>
      <c r="U12" s="912">
        <f t="shared" ref="U12:U18" si="7" xml:space="preserve"> (K12-P12)/K12</f>
        <v>-2.5412960610754678E-6</v>
      </c>
      <c r="V12" s="912">
        <f t="shared" ref="V12:V18" si="8" xml:space="preserve"> (L12-Q12)/L12</f>
        <v>-2.5412961367276301E-9</v>
      </c>
      <c r="W12" s="913">
        <f xml:space="preserve"> (M12-R12)/M12</f>
        <v>-2.5412960610650671E-6</v>
      </c>
    </row>
    <row r="13" spans="3:38" ht="15.75" thickTop="1" x14ac:dyDescent="0.25">
      <c r="C13" s="1431">
        <v>780</v>
      </c>
      <c r="D13" s="1333" t="s">
        <v>84</v>
      </c>
      <c r="E13" s="1334">
        <f>C13*9.80665</f>
        <v>7649.1869999999999</v>
      </c>
      <c r="F13" s="1335">
        <v>2</v>
      </c>
      <c r="G13" s="1333" t="s">
        <v>37</v>
      </c>
      <c r="H13" s="1370">
        <f>F13/60</f>
        <v>3.3333333333333333E-2</v>
      </c>
      <c r="I13" s="1539">
        <f t="shared" si="0"/>
        <v>0.34192429114810413</v>
      </c>
      <c r="J13" s="1540">
        <f t="shared" si="1"/>
        <v>26</v>
      </c>
      <c r="K13" s="1540">
        <f t="shared" si="2"/>
        <v>0.2549729</v>
      </c>
      <c r="L13" s="1614">
        <f t="shared" si="3"/>
        <v>254972.9</v>
      </c>
      <c r="M13" s="1615">
        <f t="shared" si="4"/>
        <v>254.97289999999998</v>
      </c>
      <c r="N13" s="1549">
        <v>0.34192400000000001</v>
      </c>
      <c r="O13" s="1442">
        <v>26</v>
      </c>
      <c r="P13" s="1442">
        <v>0.25497300000000001</v>
      </c>
      <c r="Q13" s="1442">
        <v>254973</v>
      </c>
      <c r="R13" s="1616">
        <v>254.97300000000001</v>
      </c>
      <c r="S13" s="1550">
        <f t="shared" si="5"/>
        <v>8.5149874303478745E-7</v>
      </c>
      <c r="T13" s="1266">
        <f t="shared" si="6"/>
        <v>0</v>
      </c>
      <c r="U13" s="1266">
        <f t="shared" si="7"/>
        <v>-3.9219854346432725E-7</v>
      </c>
      <c r="V13" s="1266">
        <f t="shared" si="8"/>
        <v>-3.9219854347587829E-7</v>
      </c>
      <c r="W13" s="1267">
        <f t="shared" ref="W13:W18" si="9" xml:space="preserve"> (M13-R13)/M13</f>
        <v>-3.9219854357753855E-7</v>
      </c>
    </row>
    <row r="14" spans="3:38" ht="15.75" thickBot="1" x14ac:dyDescent="0.3">
      <c r="C14" s="1440">
        <v>123</v>
      </c>
      <c r="D14" s="1348" t="s">
        <v>85</v>
      </c>
      <c r="E14" s="1351">
        <f>C14</f>
        <v>123</v>
      </c>
      <c r="F14" s="1350">
        <v>13</v>
      </c>
      <c r="G14" s="1348" t="s">
        <v>37</v>
      </c>
      <c r="H14" s="1375">
        <f>F14/60</f>
        <v>0.21666666666666667</v>
      </c>
      <c r="I14" s="1557">
        <f t="shared" si="0"/>
        <v>3.5738238687707508E-2</v>
      </c>
      <c r="J14" s="1558">
        <f t="shared" si="1"/>
        <v>2.717543707586179</v>
      </c>
      <c r="K14" s="1558">
        <f t="shared" si="2"/>
        <v>2.6650000000000004E-2</v>
      </c>
      <c r="L14" s="1617">
        <f t="shared" si="3"/>
        <v>26650.000000000004</v>
      </c>
      <c r="M14" s="1618">
        <f t="shared" si="4"/>
        <v>26.650000000000002</v>
      </c>
      <c r="N14" s="1555">
        <v>3.5738199999999998E-2</v>
      </c>
      <c r="O14" s="1451">
        <v>2.7175400000000001</v>
      </c>
      <c r="P14" s="1451">
        <v>2.665E-2</v>
      </c>
      <c r="Q14" s="1451">
        <v>26650</v>
      </c>
      <c r="R14" s="1619">
        <v>26.65</v>
      </c>
      <c r="S14" s="1556">
        <f t="shared" si="5"/>
        <v>1.0825297756802212E-6</v>
      </c>
      <c r="T14" s="1297">
        <f t="shared" si="6"/>
        <v>1.3643151970686717E-6</v>
      </c>
      <c r="U14" s="1297">
        <f t="shared" si="7"/>
        <v>1.3018562671495735E-16</v>
      </c>
      <c r="V14" s="1297">
        <f t="shared" si="8"/>
        <v>1.3650952371826313E-16</v>
      </c>
      <c r="W14" s="1298">
        <f t="shared" si="9"/>
        <v>1.3331008175611635E-16</v>
      </c>
    </row>
    <row r="15" spans="3:38" ht="15.75" thickTop="1" x14ac:dyDescent="0.25">
      <c r="C15" s="313">
        <v>541</v>
      </c>
      <c r="D15" s="61" t="s">
        <v>84</v>
      </c>
      <c r="E15" s="45">
        <f>C15*9.80665</f>
        <v>5305.3976499999999</v>
      </c>
      <c r="F15" s="107">
        <v>84</v>
      </c>
      <c r="G15" s="61" t="s">
        <v>31</v>
      </c>
      <c r="H15" s="48">
        <f>F15</f>
        <v>84</v>
      </c>
      <c r="I15" s="280">
        <f t="shared" si="0"/>
        <v>597.63105718978636</v>
      </c>
      <c r="J15" s="324">
        <f t="shared" si="1"/>
        <v>45444</v>
      </c>
      <c r="K15" s="324">
        <f t="shared" si="2"/>
        <v>445.65340259999999</v>
      </c>
      <c r="L15" s="707">
        <f t="shared" si="3"/>
        <v>445653402.59999996</v>
      </c>
      <c r="M15" s="708">
        <f t="shared" si="4"/>
        <v>445653.40259999997</v>
      </c>
      <c r="N15" s="714">
        <v>597.63099999999997</v>
      </c>
      <c r="O15" s="314">
        <v>45444</v>
      </c>
      <c r="P15" s="314">
        <v>445.65300000000002</v>
      </c>
      <c r="Q15" s="314">
        <v>445653403</v>
      </c>
      <c r="R15" s="715">
        <v>445653</v>
      </c>
      <c r="S15" s="709">
        <f t="shared" si="5"/>
        <v>9.5694133866077016E-8</v>
      </c>
      <c r="T15" s="191">
        <f t="shared" si="6"/>
        <v>0</v>
      </c>
      <c r="U15" s="191">
        <f t="shared" si="7"/>
        <v>9.0339263118779605E-7</v>
      </c>
      <c r="V15" s="191">
        <f t="shared" si="8"/>
        <v>-8.975585812407907E-10</v>
      </c>
      <c r="W15" s="192">
        <f t="shared" si="9"/>
        <v>9.0339263118677569E-7</v>
      </c>
    </row>
    <row r="16" spans="3:38" ht="15.75" thickBot="1" x14ac:dyDescent="0.3">
      <c r="C16" s="316">
        <v>2355</v>
      </c>
      <c r="D16" s="290" t="s">
        <v>85</v>
      </c>
      <c r="E16" s="294">
        <f>C16</f>
        <v>2355</v>
      </c>
      <c r="F16" s="701">
        <v>266</v>
      </c>
      <c r="G16" s="290" t="s">
        <v>31</v>
      </c>
      <c r="H16" s="291">
        <f>F16</f>
        <v>266</v>
      </c>
      <c r="I16" s="702">
        <f t="shared" si="0"/>
        <v>840.05646758501359</v>
      </c>
      <c r="J16" s="703">
        <f t="shared" si="1"/>
        <v>63878.082729576359</v>
      </c>
      <c r="K16" s="703">
        <f t="shared" si="2"/>
        <v>626.42999999999995</v>
      </c>
      <c r="L16" s="704">
        <f t="shared" si="3"/>
        <v>626430000</v>
      </c>
      <c r="M16" s="705">
        <f t="shared" si="4"/>
        <v>626430</v>
      </c>
      <c r="N16" s="716">
        <v>840.05600000000004</v>
      </c>
      <c r="O16" s="317">
        <v>63878.1</v>
      </c>
      <c r="P16" s="317">
        <v>626.42999999999995</v>
      </c>
      <c r="Q16" s="317">
        <v>626430000</v>
      </c>
      <c r="R16" s="717">
        <v>626430</v>
      </c>
      <c r="S16" s="706">
        <f t="shared" si="5"/>
        <v>5.5661140839367156E-7</v>
      </c>
      <c r="T16" s="163">
        <f t="shared" si="6"/>
        <v>-2.7036540392716333E-7</v>
      </c>
      <c r="U16" s="163">
        <f t="shared" si="7"/>
        <v>0</v>
      </c>
      <c r="V16" s="163">
        <f t="shared" si="8"/>
        <v>0</v>
      </c>
      <c r="W16" s="164">
        <f t="shared" si="9"/>
        <v>0</v>
      </c>
    </row>
    <row r="17" spans="3:23" ht="15.75" thickTop="1" x14ac:dyDescent="0.25">
      <c r="C17" s="420">
        <v>4500</v>
      </c>
      <c r="D17" s="383" t="s">
        <v>84</v>
      </c>
      <c r="E17" s="384">
        <f>C17*9.80665</f>
        <v>44129.924999999996</v>
      </c>
      <c r="F17" s="385">
        <v>423</v>
      </c>
      <c r="G17" s="383" t="s">
        <v>38</v>
      </c>
      <c r="H17" s="390">
        <f>F17*1609.4/3600</f>
        <v>189.10450000000003</v>
      </c>
      <c r="I17" s="441">
        <f t="shared" si="0"/>
        <v>11191.053827668271</v>
      </c>
      <c r="J17" s="710">
        <f t="shared" si="1"/>
        <v>850970.25000000012</v>
      </c>
      <c r="K17" s="710">
        <f t="shared" si="2"/>
        <v>8345.1674021625004</v>
      </c>
      <c r="L17" s="711">
        <f t="shared" si="3"/>
        <v>8345167402.1625004</v>
      </c>
      <c r="M17" s="712">
        <f t="shared" si="4"/>
        <v>8345167.4021625007</v>
      </c>
      <c r="N17" s="718">
        <v>11191.1</v>
      </c>
      <c r="O17" s="421">
        <v>850970</v>
      </c>
      <c r="P17" s="421">
        <v>8345.17</v>
      </c>
      <c r="Q17" s="421">
        <v>8345167402</v>
      </c>
      <c r="R17" s="719">
        <v>8345167</v>
      </c>
      <c r="S17" s="713">
        <f t="shared" si="5"/>
        <v>-4.1258251850455811E-6</v>
      </c>
      <c r="T17" s="211">
        <f t="shared" si="6"/>
        <v>2.9378230333717927E-7</v>
      </c>
      <c r="U17" s="211">
        <f t="shared" si="7"/>
        <v>-3.1129842872097131E-7</v>
      </c>
      <c r="V17" s="211">
        <f t="shared" si="8"/>
        <v>1.9472393259315267E-11</v>
      </c>
      <c r="W17" s="212">
        <f t="shared" si="9"/>
        <v>4.8191064513927902E-8</v>
      </c>
    </row>
    <row r="18" spans="3:23" ht="15.75" thickBot="1" x14ac:dyDescent="0.3">
      <c r="C18" s="397">
        <v>970</v>
      </c>
      <c r="D18" s="398" t="s">
        <v>85</v>
      </c>
      <c r="E18" s="399">
        <f>C18</f>
        <v>970</v>
      </c>
      <c r="F18" s="443">
        <v>5325</v>
      </c>
      <c r="G18" s="398" t="s">
        <v>38</v>
      </c>
      <c r="H18" s="410">
        <f>F18*1609.4/3600</f>
        <v>2380.5708333333332</v>
      </c>
      <c r="I18" s="444">
        <f t="shared" si="0"/>
        <v>3096.6261311452749</v>
      </c>
      <c r="J18" s="445">
        <f t="shared" si="1"/>
        <v>235468.14746456061</v>
      </c>
      <c r="K18" s="445">
        <f t="shared" si="2"/>
        <v>2309.1537083333328</v>
      </c>
      <c r="L18" s="446">
        <f t="shared" si="3"/>
        <v>2309153708.333333</v>
      </c>
      <c r="M18" s="447">
        <f t="shared" si="4"/>
        <v>2309153.708333333</v>
      </c>
      <c r="N18" s="436">
        <v>3096.63</v>
      </c>
      <c r="O18" s="428">
        <v>235468</v>
      </c>
      <c r="P18" s="428">
        <v>2309.15</v>
      </c>
      <c r="Q18" s="428">
        <v>2309153708</v>
      </c>
      <c r="R18" s="720">
        <v>2309154</v>
      </c>
      <c r="S18" s="448">
        <f t="shared" si="5"/>
        <v>-1.2493774066740928E-6</v>
      </c>
      <c r="T18" s="235">
        <f t="shared" si="6"/>
        <v>6.2626118307124336E-7</v>
      </c>
      <c r="U18" s="235">
        <f t="shared" si="7"/>
        <v>1.605927452703495E-6</v>
      </c>
      <c r="V18" s="235">
        <f t="shared" si="8"/>
        <v>1.44352891814414E-10</v>
      </c>
      <c r="W18" s="236">
        <f t="shared" si="9"/>
        <v>-1.2630890092960612E-7</v>
      </c>
    </row>
    <row r="19" spans="3:23" ht="15.75" thickTop="1" x14ac:dyDescent="0.25"/>
    <row r="20" spans="3:23" ht="15.75" thickBot="1" x14ac:dyDescent="0.3"/>
    <row r="21" spans="3:23" ht="15.75" thickTop="1" x14ac:dyDescent="0.25">
      <c r="C21" s="2488" t="s">
        <v>0</v>
      </c>
      <c r="D21" s="2489"/>
      <c r="E21" s="2489"/>
      <c r="F21" s="2489"/>
      <c r="G21" s="2489"/>
      <c r="H21" s="2489"/>
      <c r="I21" s="2483" t="s">
        <v>158</v>
      </c>
      <c r="J21" s="2484"/>
      <c r="K21" s="2484"/>
      <c r="L21" s="2485"/>
      <c r="M21" s="2489" t="s">
        <v>17</v>
      </c>
      <c r="N21" s="2489"/>
      <c r="O21" s="2489"/>
      <c r="P21" s="2489"/>
      <c r="Q21" s="2483" t="s">
        <v>8</v>
      </c>
      <c r="R21" s="2484"/>
      <c r="S21" s="2484"/>
      <c r="T21" s="2485"/>
    </row>
    <row r="22" spans="3:23" ht="15.75" thickBot="1" x14ac:dyDescent="0.3">
      <c r="C22" s="2486" t="s">
        <v>139</v>
      </c>
      <c r="D22" s="2487"/>
      <c r="E22" s="2487"/>
      <c r="F22" s="2486" t="s">
        <v>1</v>
      </c>
      <c r="G22" s="2487"/>
      <c r="H22" s="2487"/>
      <c r="I22" s="2480" t="s">
        <v>29</v>
      </c>
      <c r="J22" s="2481"/>
      <c r="K22" s="2481"/>
      <c r="L22" s="2482"/>
      <c r="M22" s="2486" t="s">
        <v>29</v>
      </c>
      <c r="N22" s="2487"/>
      <c r="O22" s="2487"/>
      <c r="P22" s="2496"/>
      <c r="Q22" s="2480" t="s">
        <v>29</v>
      </c>
      <c r="R22" s="2481"/>
      <c r="S22" s="2481"/>
      <c r="T22" s="2482"/>
    </row>
    <row r="23" spans="3:23" ht="15.75" thickBot="1" x14ac:dyDescent="0.3">
      <c r="C23" s="82" t="s">
        <v>3</v>
      </c>
      <c r="D23" s="66" t="s">
        <v>4</v>
      </c>
      <c r="E23" s="84" t="s">
        <v>85</v>
      </c>
      <c r="F23" s="82" t="s">
        <v>3</v>
      </c>
      <c r="G23" s="66" t="s">
        <v>4</v>
      </c>
      <c r="H23" s="84" t="s">
        <v>21</v>
      </c>
      <c r="I23" s="86" t="s">
        <v>36</v>
      </c>
      <c r="J23" s="87" t="s">
        <v>37</v>
      </c>
      <c r="K23" s="87" t="s">
        <v>31</v>
      </c>
      <c r="L23" s="88" t="s">
        <v>38</v>
      </c>
      <c r="M23" s="84" t="s">
        <v>36</v>
      </c>
      <c r="N23" s="83" t="s">
        <v>37</v>
      </c>
      <c r="O23" s="83" t="s">
        <v>31</v>
      </c>
      <c r="P23" s="84" t="s">
        <v>38</v>
      </c>
      <c r="Q23" s="86" t="s">
        <v>36</v>
      </c>
      <c r="R23" s="87" t="s">
        <v>37</v>
      </c>
      <c r="S23" s="87" t="s">
        <v>31</v>
      </c>
      <c r="T23" s="88" t="s">
        <v>38</v>
      </c>
    </row>
    <row r="24" spans="3:23" ht="15.75" thickTop="1" x14ac:dyDescent="0.25">
      <c r="C24" s="1051">
        <v>950</v>
      </c>
      <c r="D24" s="1052" t="s">
        <v>84</v>
      </c>
      <c r="E24" s="1053">
        <f>C24*9.80665</f>
        <v>9316.3174999999992</v>
      </c>
      <c r="F24" s="1091">
        <v>520</v>
      </c>
      <c r="G24" s="1052" t="s">
        <v>24</v>
      </c>
      <c r="H24" s="1055">
        <f>F24*0.74569987158227*1000</f>
        <v>387763.93322278041</v>
      </c>
      <c r="I24" s="1191">
        <f>K24*3600/1000</f>
        <v>149.83926423739956</v>
      </c>
      <c r="J24" s="1192">
        <f>K24*60</f>
        <v>2497.3210706233258</v>
      </c>
      <c r="K24" s="1192">
        <f>H24/E24</f>
        <v>41.622017843722098</v>
      </c>
      <c r="L24" s="1193">
        <f>K24*3600/1609.4</f>
        <v>93.102562593140021</v>
      </c>
      <c r="M24" s="1242">
        <v>149.839</v>
      </c>
      <c r="N24" s="1192">
        <v>2497.3200000000002</v>
      </c>
      <c r="O24" s="1192">
        <v>41.622</v>
      </c>
      <c r="P24" s="1242">
        <v>93.102599999999995</v>
      </c>
      <c r="Q24" s="980">
        <f xml:space="preserve"> (I24-M24)/I24</f>
        <v>1.7634723509057624E-6</v>
      </c>
      <c r="R24" s="981">
        <f t="shared" ref="R24:T33" si="10" xml:space="preserve"> (J24-N24)/J24</f>
        <v>4.2870872240878255E-7</v>
      </c>
      <c r="S24" s="981">
        <f t="shared" si="10"/>
        <v>4.2870872251121043E-7</v>
      </c>
      <c r="T24" s="982">
        <f t="shared" si="10"/>
        <v>-4.0178120700573195E-7</v>
      </c>
    </row>
    <row r="25" spans="3:23" ht="15.75" thickBot="1" x14ac:dyDescent="0.3">
      <c r="C25" s="1064">
        <v>458</v>
      </c>
      <c r="D25" s="953" t="s">
        <v>85</v>
      </c>
      <c r="E25" s="1065">
        <f>C25</f>
        <v>458</v>
      </c>
      <c r="F25" s="952">
        <v>9</v>
      </c>
      <c r="G25" s="953" t="s">
        <v>24</v>
      </c>
      <c r="H25" s="954">
        <f>F25*0.74569987158227*1000</f>
        <v>6711.2988442404294</v>
      </c>
      <c r="I25" s="1160">
        <f t="shared" ref="I25:I33" si="11">K25*3600/1000</f>
        <v>52.752567334640922</v>
      </c>
      <c r="J25" s="1161">
        <f t="shared" ref="J25:J33" si="12">K25*60</f>
        <v>879.20945557734876</v>
      </c>
      <c r="K25" s="1161">
        <f t="shared" ref="K25:K33" si="13">H25/E25</f>
        <v>14.653490926289146</v>
      </c>
      <c r="L25" s="1162">
        <f t="shared" ref="L25:L33" si="14">K25*3600/1609.4</f>
        <v>32.777785096707419</v>
      </c>
      <c r="M25" s="1065">
        <v>52.752600000000001</v>
      </c>
      <c r="N25" s="1066">
        <v>879.20899999999995</v>
      </c>
      <c r="O25" s="1066">
        <v>14.653499999999999</v>
      </c>
      <c r="P25" s="1065">
        <v>32.777799999999999</v>
      </c>
      <c r="Q25" s="911">
        <f t="shared" ref="Q25:Q33" si="15" xml:space="preserve"> (I25-M25)/I25</f>
        <v>-6.1921837607940944E-7</v>
      </c>
      <c r="R25" s="912">
        <f t="shared" si="10"/>
        <v>5.1816702598727386E-7</v>
      </c>
      <c r="S25" s="912">
        <f t="shared" si="10"/>
        <v>-6.1921837591777724E-7</v>
      </c>
      <c r="T25" s="913">
        <f t="shared" si="10"/>
        <v>-4.5467662126955205E-7</v>
      </c>
    </row>
    <row r="26" spans="3:23" ht="15.75" thickTop="1" x14ac:dyDescent="0.25">
      <c r="C26" s="1431">
        <v>78</v>
      </c>
      <c r="D26" s="1333" t="s">
        <v>84</v>
      </c>
      <c r="E26" s="1334">
        <f>C26*9.80665</f>
        <v>764.91869999999994</v>
      </c>
      <c r="F26" s="1332">
        <v>96</v>
      </c>
      <c r="G26" s="1333" t="s">
        <v>19</v>
      </c>
      <c r="H26" s="1370">
        <f>F26*9.80665</f>
        <v>941.4384</v>
      </c>
      <c r="I26" s="1530">
        <f t="shared" si="11"/>
        <v>4.430769230769231</v>
      </c>
      <c r="J26" s="1372">
        <f t="shared" si="12"/>
        <v>73.846153846153854</v>
      </c>
      <c r="K26" s="1372">
        <f t="shared" si="13"/>
        <v>1.2307692307692308</v>
      </c>
      <c r="L26" s="1373">
        <f t="shared" si="14"/>
        <v>2.753056561929434</v>
      </c>
      <c r="M26" s="1334">
        <v>4.4307699999999999</v>
      </c>
      <c r="N26" s="1442">
        <v>73.846199999999996</v>
      </c>
      <c r="O26" s="1442">
        <v>1.2307699999999999</v>
      </c>
      <c r="P26" s="1334">
        <v>2.7530600000000001</v>
      </c>
      <c r="Q26" s="1265">
        <f t="shared" si="15"/>
        <v>-1.7361111102743975E-7</v>
      </c>
      <c r="R26" s="1266">
        <f t="shared" si="10"/>
        <v>-6.2499999984311208E-7</v>
      </c>
      <c r="S26" s="1266">
        <f t="shared" si="10"/>
        <v>-6.2499999987919441E-7</v>
      </c>
      <c r="T26" s="1267">
        <f t="shared" si="10"/>
        <v>-1.2488194443815683E-6</v>
      </c>
    </row>
    <row r="27" spans="3:23" ht="15.75" thickBot="1" x14ac:dyDescent="0.3">
      <c r="C27" s="1440">
        <v>6</v>
      </c>
      <c r="D27" s="1348" t="s">
        <v>85</v>
      </c>
      <c r="E27" s="1351">
        <f>C27</f>
        <v>6</v>
      </c>
      <c r="F27" s="1347">
        <v>499</v>
      </c>
      <c r="G27" s="1348" t="s">
        <v>19</v>
      </c>
      <c r="H27" s="1375">
        <f>F27* 9.80665</f>
        <v>4893.5183499999994</v>
      </c>
      <c r="I27" s="1533">
        <f t="shared" si="11"/>
        <v>2936.1110099999996</v>
      </c>
      <c r="J27" s="1534">
        <f t="shared" si="12"/>
        <v>48935.183499999999</v>
      </c>
      <c r="K27" s="1534">
        <f t="shared" si="13"/>
        <v>815.5863916666666</v>
      </c>
      <c r="L27" s="1535">
        <f t="shared" si="14"/>
        <v>1824.3513172610908</v>
      </c>
      <c r="M27" s="1351">
        <v>2936.11</v>
      </c>
      <c r="N27" s="1451">
        <v>48935.199999999997</v>
      </c>
      <c r="O27" s="1451">
        <v>815.58600000000001</v>
      </c>
      <c r="P27" s="1351">
        <v>1824.35</v>
      </c>
      <c r="Q27" s="1296">
        <f t="shared" si="15"/>
        <v>3.4399244308421373E-7</v>
      </c>
      <c r="R27" s="1297">
        <f t="shared" si="10"/>
        <v>-3.3718071166330715E-7</v>
      </c>
      <c r="S27" s="1297">
        <f t="shared" si="10"/>
        <v>4.8022707415080779E-7</v>
      </c>
      <c r="T27" s="1298">
        <f t="shared" si="10"/>
        <v>7.2204354414981833E-7</v>
      </c>
    </row>
    <row r="28" spans="3:23" ht="15.75" thickTop="1" x14ac:dyDescent="0.25">
      <c r="C28" s="313">
        <v>4555</v>
      </c>
      <c r="D28" s="61" t="s">
        <v>84</v>
      </c>
      <c r="E28" s="45">
        <f>C28*9.80665</f>
        <v>44669.29075</v>
      </c>
      <c r="F28" s="92">
        <v>1122</v>
      </c>
      <c r="G28" s="61" t="s">
        <v>18</v>
      </c>
      <c r="H28" s="48">
        <f>F28*1000</f>
        <v>1122000</v>
      </c>
      <c r="I28" s="449">
        <f t="shared" si="11"/>
        <v>90.424538473335858</v>
      </c>
      <c r="J28" s="450">
        <f t="shared" si="12"/>
        <v>1507.075641222264</v>
      </c>
      <c r="K28" s="450">
        <f t="shared" si="13"/>
        <v>25.117927353704403</v>
      </c>
      <c r="L28" s="451">
        <f t="shared" si="14"/>
        <v>56.185248212585961</v>
      </c>
      <c r="M28" s="45">
        <v>90.424499999999995</v>
      </c>
      <c r="N28" s="314">
        <v>1507.08</v>
      </c>
      <c r="O28" s="314">
        <v>25.117899999999999</v>
      </c>
      <c r="P28" s="45">
        <v>56.185200000000002</v>
      </c>
      <c r="Q28" s="190">
        <f t="shared" si="15"/>
        <v>4.2547450628434012E-7</v>
      </c>
      <c r="R28" s="191">
        <f t="shared" si="10"/>
        <v>-2.8922090017677909E-6</v>
      </c>
      <c r="S28" s="191">
        <f t="shared" si="10"/>
        <v>1.0890112077552107E-6</v>
      </c>
      <c r="T28" s="192">
        <f t="shared" si="10"/>
        <v>8.5810043548595506E-7</v>
      </c>
    </row>
    <row r="29" spans="3:23" ht="15.75" thickBot="1" x14ac:dyDescent="0.3">
      <c r="C29" s="316">
        <v>350</v>
      </c>
      <c r="D29" s="290" t="s">
        <v>85</v>
      </c>
      <c r="E29" s="294">
        <f>C29</f>
        <v>350</v>
      </c>
      <c r="F29" s="141">
        <v>630</v>
      </c>
      <c r="G29" s="290" t="s">
        <v>18</v>
      </c>
      <c r="H29" s="291">
        <f>F29*1000</f>
        <v>630000</v>
      </c>
      <c r="I29" s="1634">
        <f t="shared" si="11"/>
        <v>6480</v>
      </c>
      <c r="J29" s="1635">
        <f t="shared" si="12"/>
        <v>108000</v>
      </c>
      <c r="K29" s="1635">
        <f t="shared" si="13"/>
        <v>1800</v>
      </c>
      <c r="L29" s="1636">
        <f t="shared" si="14"/>
        <v>4026.3452218217967</v>
      </c>
      <c r="M29" s="294">
        <v>6480</v>
      </c>
      <c r="N29" s="317">
        <v>108000</v>
      </c>
      <c r="O29" s="317">
        <v>1800</v>
      </c>
      <c r="P29" s="294">
        <v>4026.35</v>
      </c>
      <c r="Q29" s="162">
        <f t="shared" si="15"/>
        <v>0</v>
      </c>
      <c r="R29" s="163">
        <f t="shared" si="10"/>
        <v>0</v>
      </c>
      <c r="S29" s="163">
        <f t="shared" si="10"/>
        <v>0</v>
      </c>
      <c r="T29" s="164">
        <f t="shared" si="10"/>
        <v>-1.186728395096278E-6</v>
      </c>
    </row>
    <row r="30" spans="3:23" ht="15.75" thickTop="1" x14ac:dyDescent="0.25">
      <c r="C30" s="420">
        <v>456</v>
      </c>
      <c r="D30" s="383" t="s">
        <v>84</v>
      </c>
      <c r="E30" s="384">
        <f>C30*9.80665</f>
        <v>4471.8323999999993</v>
      </c>
      <c r="F30" s="382">
        <v>9</v>
      </c>
      <c r="G30" s="383" t="s">
        <v>20</v>
      </c>
      <c r="H30" s="442">
        <f>F30/1000</f>
        <v>8.9999999999999993E-3</v>
      </c>
      <c r="I30" s="865">
        <f t="shared" si="11"/>
        <v>7.2453520395800163E-6</v>
      </c>
      <c r="J30" s="866">
        <f t="shared" si="12"/>
        <v>1.2075586732633362E-4</v>
      </c>
      <c r="K30" s="866">
        <f t="shared" si="13"/>
        <v>2.0125977887722268E-6</v>
      </c>
      <c r="L30" s="867">
        <f t="shared" si="14"/>
        <v>4.5018963834845386E-6</v>
      </c>
      <c r="M30" s="751">
        <v>7.2453520395800197E-6</v>
      </c>
      <c r="N30" s="421">
        <v>1.2075599999999999E-4</v>
      </c>
      <c r="O30" s="748">
        <v>2.0125977887722298E-6</v>
      </c>
      <c r="P30" s="751">
        <v>4.5018963834845403E-6</v>
      </c>
      <c r="Q30" s="210">
        <f t="shared" si="15"/>
        <v>-4.6762831819744088E-16</v>
      </c>
      <c r="R30" s="211">
        <f t="shared" si="10"/>
        <v>-1.0986933332166221E-6</v>
      </c>
      <c r="S30" s="211">
        <f t="shared" si="10"/>
        <v>-1.4730292023219389E-15</v>
      </c>
      <c r="T30" s="212">
        <f t="shared" si="10"/>
        <v>-3.7630050765348071E-16</v>
      </c>
    </row>
    <row r="31" spans="3:23" ht="15.75" thickBot="1" x14ac:dyDescent="0.3">
      <c r="C31" s="422">
        <v>820</v>
      </c>
      <c r="D31" s="228" t="s">
        <v>85</v>
      </c>
      <c r="E31" s="229">
        <f>C31</f>
        <v>820</v>
      </c>
      <c r="F31" s="227">
        <v>5698</v>
      </c>
      <c r="G31" s="228" t="s">
        <v>20</v>
      </c>
      <c r="H31" s="499">
        <f>F31/1000</f>
        <v>5.6980000000000004</v>
      </c>
      <c r="I31" s="868">
        <f t="shared" si="11"/>
        <v>2.5015609756097564E-2</v>
      </c>
      <c r="J31" s="520">
        <f t="shared" si="12"/>
        <v>0.41692682926829272</v>
      </c>
      <c r="K31" s="520">
        <f t="shared" si="13"/>
        <v>6.9487804878048788E-3</v>
      </c>
      <c r="L31" s="869">
        <f t="shared" si="14"/>
        <v>1.5543438396978727E-2</v>
      </c>
      <c r="M31" s="229">
        <v>2.5015599999999999E-2</v>
      </c>
      <c r="N31" s="423">
        <v>0.41692699999999999</v>
      </c>
      <c r="O31" s="423">
        <v>6.9487799999999999E-3</v>
      </c>
      <c r="P31" s="229">
        <v>1.5543400000000001E-2</v>
      </c>
      <c r="Q31" s="437">
        <f t="shared" si="15"/>
        <v>3.9000039017059223E-7</v>
      </c>
      <c r="R31" s="438">
        <f t="shared" si="10"/>
        <v>-4.0950040939203089E-7</v>
      </c>
      <c r="S31" s="438">
        <f t="shared" si="10"/>
        <v>7.0200070330564331E-8</v>
      </c>
      <c r="T31" s="439">
        <f t="shared" si="10"/>
        <v>2.470301470375562E-6</v>
      </c>
    </row>
    <row r="32" spans="3:23" ht="15.75" thickTop="1" x14ac:dyDescent="0.25">
      <c r="C32" s="1679">
        <v>1256</v>
      </c>
      <c r="D32" s="127" t="s">
        <v>84</v>
      </c>
      <c r="E32" s="1640">
        <f>C32*9.80665</f>
        <v>12317.152399999999</v>
      </c>
      <c r="F32" s="1639">
        <v>840</v>
      </c>
      <c r="G32" s="127" t="s">
        <v>21</v>
      </c>
      <c r="H32" s="142">
        <f>F32</f>
        <v>840</v>
      </c>
      <c r="I32" s="1769">
        <f t="shared" si="11"/>
        <v>0.24551129204181971</v>
      </c>
      <c r="J32" s="1770">
        <f t="shared" si="12"/>
        <v>4.0918548673636614</v>
      </c>
      <c r="K32" s="1770">
        <f t="shared" si="13"/>
        <v>6.8197581122727696E-2</v>
      </c>
      <c r="L32" s="1771">
        <f t="shared" si="14"/>
        <v>0.15254833605183279</v>
      </c>
      <c r="M32" s="1750">
        <v>0.24551100000000001</v>
      </c>
      <c r="N32" s="1717">
        <v>4.09185</v>
      </c>
      <c r="O32" s="1717">
        <v>6.8197599999999997E-2</v>
      </c>
      <c r="P32" s="1750">
        <v>0.15254799999999999</v>
      </c>
      <c r="Q32" s="1665">
        <f t="shared" si="15"/>
        <v>1.1895250001360202E-6</v>
      </c>
      <c r="R32" s="1666">
        <f t="shared" si="10"/>
        <v>1.1895250000862774E-6</v>
      </c>
      <c r="S32" s="1666">
        <f t="shared" si="10"/>
        <v>-2.7680266645975924E-7</v>
      </c>
      <c r="T32" s="1667">
        <f t="shared" si="10"/>
        <v>2.2029203431711743E-6</v>
      </c>
    </row>
    <row r="33" spans="3:20" ht="15.75" thickBot="1" x14ac:dyDescent="0.3">
      <c r="C33" s="1705">
        <v>9600</v>
      </c>
      <c r="D33" s="126" t="s">
        <v>85</v>
      </c>
      <c r="E33" s="1706">
        <f>C33</f>
        <v>9600</v>
      </c>
      <c r="F33" s="1747">
        <v>560</v>
      </c>
      <c r="G33" s="492" t="s">
        <v>21</v>
      </c>
      <c r="H33" s="493">
        <f>F33</f>
        <v>560</v>
      </c>
      <c r="I33" s="1772">
        <f t="shared" si="11"/>
        <v>0.21</v>
      </c>
      <c r="J33" s="1773">
        <f t="shared" si="12"/>
        <v>3.5</v>
      </c>
      <c r="K33" s="1773">
        <f t="shared" si="13"/>
        <v>5.8333333333333334E-2</v>
      </c>
      <c r="L33" s="1774">
        <f t="shared" si="14"/>
        <v>0.13048340996644711</v>
      </c>
      <c r="M33" s="2478">
        <v>0.21</v>
      </c>
      <c r="N33" s="2479">
        <v>3.5</v>
      </c>
      <c r="O33" s="1718">
        <v>5.8333299999999998E-2</v>
      </c>
      <c r="P33" s="1748">
        <v>0.13048299999999999</v>
      </c>
      <c r="Q33" s="1757">
        <f t="shared" si="15"/>
        <v>0</v>
      </c>
      <c r="R33" s="1719">
        <f t="shared" si="10"/>
        <v>0</v>
      </c>
      <c r="S33" s="1719">
        <f t="shared" si="10"/>
        <v>5.7142857148465407E-7</v>
      </c>
      <c r="T33" s="1758">
        <f t="shared" si="10"/>
        <v>3.1419047619077721E-6</v>
      </c>
    </row>
    <row r="34" spans="3:20" ht="15.75" thickTop="1" x14ac:dyDescent="0.25"/>
    <row r="35" spans="3:20" ht="15.75" thickBot="1" x14ac:dyDescent="0.3"/>
    <row r="36" spans="3:20" ht="15.75" thickTop="1" x14ac:dyDescent="0.25">
      <c r="C36" s="2488" t="s">
        <v>0</v>
      </c>
      <c r="D36" s="2489"/>
      <c r="E36" s="2489"/>
      <c r="F36" s="2489"/>
      <c r="G36" s="2489"/>
      <c r="H36" s="2489"/>
      <c r="I36" s="2506" t="s">
        <v>158</v>
      </c>
      <c r="J36" s="2519"/>
      <c r="K36" s="2509" t="s">
        <v>17</v>
      </c>
      <c r="L36" s="2523"/>
      <c r="M36" s="2519" t="s">
        <v>8</v>
      </c>
      <c r="N36" s="2522"/>
    </row>
    <row r="37" spans="3:20" ht="15.75" thickBot="1" x14ac:dyDescent="0.3">
      <c r="C37" s="2486" t="s">
        <v>29</v>
      </c>
      <c r="D37" s="2487"/>
      <c r="E37" s="2487"/>
      <c r="F37" s="2486" t="s">
        <v>1</v>
      </c>
      <c r="G37" s="2487"/>
      <c r="H37" s="2496"/>
      <c r="I37" s="2480" t="s">
        <v>139</v>
      </c>
      <c r="J37" s="2481"/>
      <c r="K37" s="2486" t="s">
        <v>139</v>
      </c>
      <c r="L37" s="2487"/>
      <c r="M37" s="2480" t="s">
        <v>139</v>
      </c>
      <c r="N37" s="2482"/>
    </row>
    <row r="38" spans="3:20" ht="15.75" thickBot="1" x14ac:dyDescent="0.3">
      <c r="C38" s="82" t="s">
        <v>3</v>
      </c>
      <c r="D38" s="66" t="s">
        <v>4</v>
      </c>
      <c r="E38" s="84" t="s">
        <v>31</v>
      </c>
      <c r="F38" s="82" t="s">
        <v>3</v>
      </c>
      <c r="G38" s="66" t="s">
        <v>4</v>
      </c>
      <c r="H38" s="85" t="s">
        <v>21</v>
      </c>
      <c r="I38" s="808" t="s">
        <v>84</v>
      </c>
      <c r="J38" s="697" t="s">
        <v>85</v>
      </c>
      <c r="K38" s="84" t="s">
        <v>84</v>
      </c>
      <c r="L38" s="699" t="s">
        <v>85</v>
      </c>
      <c r="M38" s="89" t="s">
        <v>84</v>
      </c>
      <c r="N38" s="697" t="s">
        <v>85</v>
      </c>
    </row>
    <row r="39" spans="3:20" ht="15.75" thickTop="1" x14ac:dyDescent="0.25">
      <c r="C39" s="1091">
        <v>41</v>
      </c>
      <c r="D39" s="1052" t="s">
        <v>36</v>
      </c>
      <c r="E39" s="1053">
        <f>C39*1000/3600</f>
        <v>11.388888888888889</v>
      </c>
      <c r="F39" s="1091">
        <v>530</v>
      </c>
      <c r="G39" s="1052" t="s">
        <v>24</v>
      </c>
      <c r="H39" s="1055">
        <f>F39*0.74569987158227*1000</f>
        <v>395220.93193860311</v>
      </c>
      <c r="I39" s="1181">
        <f>J39/9.80665</f>
        <v>3538.6524176140088</v>
      </c>
      <c r="J39" s="1214">
        <f>H39/E39</f>
        <v>34702.325731194418</v>
      </c>
      <c r="K39" s="1053">
        <v>3538.65</v>
      </c>
      <c r="L39" s="1214">
        <v>34702.300000000003</v>
      </c>
      <c r="M39" s="1176">
        <f xml:space="preserve"> (I39-K39)/I39</f>
        <v>6.8320188686232088E-7</v>
      </c>
      <c r="N39" s="1215">
        <f xml:space="preserve"> (J39-L39)/J39</f>
        <v>7.414832831218451E-7</v>
      </c>
    </row>
    <row r="40" spans="3:20" x14ac:dyDescent="0.25">
      <c r="C40" s="71">
        <v>1200</v>
      </c>
      <c r="D40" s="59" t="s">
        <v>37</v>
      </c>
      <c r="E40" s="32">
        <f>C40/60</f>
        <v>20</v>
      </c>
      <c r="F40" s="71">
        <v>720</v>
      </c>
      <c r="G40" s="59" t="s">
        <v>24</v>
      </c>
      <c r="H40" s="889">
        <f>F40*0.74569987158227*1000</f>
        <v>536903.90753923438</v>
      </c>
      <c r="I40" s="1184">
        <f t="shared" ref="I40:I58" si="16">J40/9.80665</f>
        <v>2737.4480966447991</v>
      </c>
      <c r="J40" s="1218">
        <f t="shared" ref="J40:J58" si="17">H40/E40</f>
        <v>26845.195376961718</v>
      </c>
      <c r="K40" s="32">
        <v>2737.45</v>
      </c>
      <c r="L40" s="1218">
        <v>26845.200000000001</v>
      </c>
      <c r="M40" s="1115">
        <f t="shared" ref="M40:M58" si="18" xml:space="preserve"> (I40-K40)/I40</f>
        <v>-6.9530275407649499E-7</v>
      </c>
      <c r="N40" s="1217">
        <f t="shared" ref="N40:N58" si="19" xml:space="preserve"> (J40-L40)/J40</f>
        <v>-1.7221101274376811E-7</v>
      </c>
    </row>
    <row r="41" spans="3:20" x14ac:dyDescent="0.25">
      <c r="C41" s="71">
        <v>520</v>
      </c>
      <c r="D41" s="59" t="s">
        <v>31</v>
      </c>
      <c r="E41" s="32">
        <f>C41</f>
        <v>520</v>
      </c>
      <c r="F41" s="71">
        <v>3288</v>
      </c>
      <c r="G41" s="59" t="s">
        <v>24</v>
      </c>
      <c r="H41" s="889">
        <f>F41*0.74569987158227*1000</f>
        <v>2451861.1777625037</v>
      </c>
      <c r="I41" s="1184">
        <f t="shared" si="16"/>
        <v>480.80819133376605</v>
      </c>
      <c r="J41" s="1218">
        <f t="shared" si="17"/>
        <v>4715.1176495432765</v>
      </c>
      <c r="K41" s="32">
        <v>480.80799999999999</v>
      </c>
      <c r="L41" s="1218">
        <v>4715.12</v>
      </c>
      <c r="M41" s="1115">
        <f t="shared" si="18"/>
        <v>3.9794198497990798E-7</v>
      </c>
      <c r="N41" s="1217">
        <f t="shared" si="19"/>
        <v>-4.9849375946360738E-7</v>
      </c>
    </row>
    <row r="42" spans="3:20" ht="15.75" thickBot="1" x14ac:dyDescent="0.3">
      <c r="C42" s="952">
        <v>9</v>
      </c>
      <c r="D42" s="953" t="s">
        <v>38</v>
      </c>
      <c r="E42" s="1065">
        <f>C42*1609.4/3600</f>
        <v>4.0235000000000003</v>
      </c>
      <c r="F42" s="952">
        <v>32</v>
      </c>
      <c r="G42" s="953" t="s">
        <v>24</v>
      </c>
      <c r="H42" s="954">
        <f>F42*0.74569987158227*1000</f>
        <v>23862.395890632641</v>
      </c>
      <c r="I42" s="1188">
        <f t="shared" si="16"/>
        <v>604.76878265629409</v>
      </c>
      <c r="J42" s="1240">
        <f t="shared" si="17"/>
        <v>5930.7557824363466</v>
      </c>
      <c r="K42" s="1065">
        <v>604.76900000000001</v>
      </c>
      <c r="L42" s="1240">
        <v>5930.76</v>
      </c>
      <c r="M42" s="1116">
        <f t="shared" si="18"/>
        <v>-3.5938314302224123E-7</v>
      </c>
      <c r="N42" s="1241">
        <f t="shared" si="19"/>
        <v>-7.1113426488967423E-7</v>
      </c>
    </row>
    <row r="43" spans="3:20" ht="15.75" thickTop="1" x14ac:dyDescent="0.25">
      <c r="C43" s="1332">
        <v>154</v>
      </c>
      <c r="D43" s="1333" t="s">
        <v>36</v>
      </c>
      <c r="E43" s="1334">
        <f>C43*1000/3600</f>
        <v>42.777777777777779</v>
      </c>
      <c r="F43" s="1332">
        <v>988</v>
      </c>
      <c r="G43" s="1333" t="s">
        <v>19</v>
      </c>
      <c r="H43" s="1370">
        <f>F43*9.80665</f>
        <v>9688.9701999999997</v>
      </c>
      <c r="I43" s="1548">
        <f t="shared" si="16"/>
        <v>23.096103896103894</v>
      </c>
      <c r="J43" s="1616">
        <f t="shared" si="17"/>
        <v>226.49540727272725</v>
      </c>
      <c r="K43" s="1334">
        <v>23.0961</v>
      </c>
      <c r="L43" s="1616">
        <v>226.495</v>
      </c>
      <c r="M43" s="1432">
        <f t="shared" si="18"/>
        <v>1.6869095810032276E-7</v>
      </c>
      <c r="N43" s="1620">
        <f t="shared" si="19"/>
        <v>1.7981500470514415E-6</v>
      </c>
    </row>
    <row r="44" spans="3:20" x14ac:dyDescent="0.25">
      <c r="C44" s="1268">
        <v>9</v>
      </c>
      <c r="D44" s="1269" t="s">
        <v>37</v>
      </c>
      <c r="E44" s="1254">
        <f>C44/60</f>
        <v>0.15</v>
      </c>
      <c r="F44" s="1268">
        <v>1555</v>
      </c>
      <c r="G44" s="1269" t="s">
        <v>19</v>
      </c>
      <c r="H44" s="1270">
        <f>F44* 9.80665</f>
        <v>15249.340749999999</v>
      </c>
      <c r="I44" s="1551">
        <f t="shared" si="16"/>
        <v>10366.666666666668</v>
      </c>
      <c r="J44" s="1565">
        <f t="shared" si="17"/>
        <v>101662.27166666667</v>
      </c>
      <c r="K44" s="1254">
        <v>10366.700000000001</v>
      </c>
      <c r="L44" s="1565">
        <v>101662</v>
      </c>
      <c r="M44" s="1498">
        <f t="shared" si="18"/>
        <v>-3.2154340835544951E-6</v>
      </c>
      <c r="N44" s="1567">
        <f t="shared" si="19"/>
        <v>2.6722466674578319E-6</v>
      </c>
    </row>
    <row r="45" spans="3:20" x14ac:dyDescent="0.25">
      <c r="C45" s="1268">
        <v>5698</v>
      </c>
      <c r="D45" s="1269" t="s">
        <v>31</v>
      </c>
      <c r="E45" s="1254">
        <f>C45</f>
        <v>5698</v>
      </c>
      <c r="F45" s="1268">
        <v>7</v>
      </c>
      <c r="G45" s="1269" t="s">
        <v>19</v>
      </c>
      <c r="H45" s="1270">
        <f>F45* 9.80665</f>
        <v>68.646549999999991</v>
      </c>
      <c r="I45" s="1551">
        <f t="shared" si="16"/>
        <v>1.2285012285012285E-3</v>
      </c>
      <c r="J45" s="1565">
        <f t="shared" si="17"/>
        <v>1.2047481572481571E-2</v>
      </c>
      <c r="K45" s="1254">
        <v>1.2285E-3</v>
      </c>
      <c r="L45" s="1565">
        <v>1.2047499999999999E-2</v>
      </c>
      <c r="M45" s="1498">
        <f t="shared" si="18"/>
        <v>9.9999999998235181E-7</v>
      </c>
      <c r="N45" s="1567">
        <f t="shared" si="19"/>
        <v>-1.5295743194938948E-6</v>
      </c>
    </row>
    <row r="46" spans="3:20" ht="15.75" thickBot="1" x14ac:dyDescent="0.3">
      <c r="C46" s="1347">
        <v>96</v>
      </c>
      <c r="D46" s="1348" t="s">
        <v>38</v>
      </c>
      <c r="E46" s="1351">
        <f>C46*1609.4/3600</f>
        <v>42.917333333333339</v>
      </c>
      <c r="F46" s="1347">
        <v>955</v>
      </c>
      <c r="G46" s="1348" t="s">
        <v>19</v>
      </c>
      <c r="H46" s="1375">
        <f>F46* 9.80665</f>
        <v>9365.3507499999996</v>
      </c>
      <c r="I46" s="1554">
        <f t="shared" si="16"/>
        <v>22.252081521063747</v>
      </c>
      <c r="J46" s="1619">
        <f t="shared" si="17"/>
        <v>218.21837524853979</v>
      </c>
      <c r="K46" s="1351">
        <v>22.252099999999999</v>
      </c>
      <c r="L46" s="1619">
        <v>218.21799999999999</v>
      </c>
      <c r="M46" s="1493">
        <f t="shared" si="18"/>
        <v>-8.3043630025829633E-7</v>
      </c>
      <c r="N46" s="1621">
        <f t="shared" si="19"/>
        <v>1.719601016043531E-6</v>
      </c>
    </row>
    <row r="47" spans="3:20" ht="15.75" thickTop="1" x14ac:dyDescent="0.25">
      <c r="C47" s="92">
        <v>499</v>
      </c>
      <c r="D47" s="61" t="s">
        <v>36</v>
      </c>
      <c r="E47" s="45">
        <f>C47*1000/3600</f>
        <v>138.61111111111111</v>
      </c>
      <c r="F47" s="92">
        <v>55</v>
      </c>
      <c r="G47" s="61" t="s">
        <v>18</v>
      </c>
      <c r="H47" s="48">
        <f>F47*1000</f>
        <v>55000</v>
      </c>
      <c r="I47" s="727">
        <f t="shared" si="16"/>
        <v>40.461685404735434</v>
      </c>
      <c r="J47" s="715">
        <f t="shared" si="17"/>
        <v>396.79358717434872</v>
      </c>
      <c r="K47" s="45">
        <v>40.4617</v>
      </c>
      <c r="L47" s="715">
        <v>396.79399999999998</v>
      </c>
      <c r="M47" s="299">
        <f t="shared" si="18"/>
        <v>-3.6071815646611333E-7</v>
      </c>
      <c r="N47" s="1637">
        <f t="shared" si="19"/>
        <v>-1.0404040403148433E-6</v>
      </c>
    </row>
    <row r="48" spans="3:20" x14ac:dyDescent="0.25">
      <c r="C48" s="72">
        <v>60</v>
      </c>
      <c r="D48" s="62" t="s">
        <v>37</v>
      </c>
      <c r="E48" s="34">
        <f>C48/60</f>
        <v>1</v>
      </c>
      <c r="F48" s="72">
        <v>87</v>
      </c>
      <c r="G48" s="62" t="s">
        <v>18</v>
      </c>
      <c r="H48" s="35">
        <f>F48*1000</f>
        <v>87000</v>
      </c>
      <c r="I48" s="332">
        <f t="shared" si="16"/>
        <v>8871.5310529079761</v>
      </c>
      <c r="J48" s="333">
        <f t="shared" si="17"/>
        <v>87000</v>
      </c>
      <c r="K48" s="34">
        <v>8871.5300000000007</v>
      </c>
      <c r="L48" s="333">
        <v>87000</v>
      </c>
      <c r="M48" s="334">
        <f t="shared" si="18"/>
        <v>1.1868390801812987E-7</v>
      </c>
      <c r="N48" s="335">
        <f t="shared" si="19"/>
        <v>0</v>
      </c>
    </row>
    <row r="49" spans="3:14" x14ac:dyDescent="0.25">
      <c r="C49" s="72">
        <v>840</v>
      </c>
      <c r="D49" s="62" t="s">
        <v>31</v>
      </c>
      <c r="E49" s="34">
        <f>C49</f>
        <v>840</v>
      </c>
      <c r="F49" s="72">
        <v>433</v>
      </c>
      <c r="G49" s="62" t="s">
        <v>18</v>
      </c>
      <c r="H49" s="35">
        <f>F49*1000</f>
        <v>433000</v>
      </c>
      <c r="I49" s="332">
        <f t="shared" si="16"/>
        <v>52.563942883267018</v>
      </c>
      <c r="J49" s="333">
        <f t="shared" si="17"/>
        <v>515.47619047619048</v>
      </c>
      <c r="K49" s="34">
        <v>52.563899999999997</v>
      </c>
      <c r="L49" s="333">
        <v>515.476</v>
      </c>
      <c r="M49" s="334">
        <f t="shared" si="18"/>
        <v>8.1583048509486412E-7</v>
      </c>
      <c r="N49" s="335">
        <f t="shared" si="19"/>
        <v>3.6951501155961074E-7</v>
      </c>
    </row>
    <row r="50" spans="3:14" ht="15.75" thickBot="1" x14ac:dyDescent="0.3">
      <c r="C50" s="141">
        <v>560</v>
      </c>
      <c r="D50" s="290" t="s">
        <v>38</v>
      </c>
      <c r="E50" s="294">
        <f>C50*1609.4/3600</f>
        <v>250.35111111111112</v>
      </c>
      <c r="F50" s="141">
        <v>1233</v>
      </c>
      <c r="G50" s="290" t="s">
        <v>18</v>
      </c>
      <c r="H50" s="291">
        <f>F50*1000</f>
        <v>1233000</v>
      </c>
      <c r="I50" s="726">
        <f t="shared" si="16"/>
        <v>502.21869798043946</v>
      </c>
      <c r="J50" s="717">
        <f t="shared" si="17"/>
        <v>4925.0829945498763</v>
      </c>
      <c r="K50" s="294">
        <v>502.21899999999999</v>
      </c>
      <c r="L50" s="717">
        <v>4925.08</v>
      </c>
      <c r="M50" s="735">
        <f t="shared" si="18"/>
        <v>-6.0137060159326309E-7</v>
      </c>
      <c r="N50" s="1638">
        <f t="shared" si="19"/>
        <v>6.0802018558102659E-7</v>
      </c>
    </row>
    <row r="51" spans="3:14" ht="15.75" thickTop="1" x14ac:dyDescent="0.25">
      <c r="C51" s="382">
        <v>1122</v>
      </c>
      <c r="D51" s="383" t="s">
        <v>36</v>
      </c>
      <c r="E51" s="384">
        <f>C51*1000/3600</f>
        <v>311.66666666666669</v>
      </c>
      <c r="F51" s="382">
        <v>43500</v>
      </c>
      <c r="G51" s="383" t="s">
        <v>20</v>
      </c>
      <c r="H51" s="442">
        <f>F51/1000</f>
        <v>43.5</v>
      </c>
      <c r="I51" s="728">
        <f t="shared" si="16"/>
        <v>1.4232402758675896E-2</v>
      </c>
      <c r="J51" s="719">
        <f t="shared" si="17"/>
        <v>0.13957219251336897</v>
      </c>
      <c r="K51" s="384">
        <v>1.4232399999999999E-2</v>
      </c>
      <c r="L51" s="719">
        <v>0.139572</v>
      </c>
      <c r="M51" s="628">
        <f t="shared" si="18"/>
        <v>1.9383065135731364E-7</v>
      </c>
      <c r="N51" s="870">
        <f t="shared" si="19"/>
        <v>1.3793103447162421E-6</v>
      </c>
    </row>
    <row r="52" spans="3:14" x14ac:dyDescent="0.25">
      <c r="C52" s="213">
        <v>630</v>
      </c>
      <c r="D52" s="214" t="s">
        <v>37</v>
      </c>
      <c r="E52" s="215">
        <f>C52/60</f>
        <v>10.5</v>
      </c>
      <c r="F52" s="213">
        <v>4</v>
      </c>
      <c r="G52" s="214" t="s">
        <v>20</v>
      </c>
      <c r="H52" s="498">
        <f>F52/1000</f>
        <v>4.0000000000000001E-3</v>
      </c>
      <c r="I52" s="724">
        <f t="shared" si="16"/>
        <v>3.8846331922968698E-5</v>
      </c>
      <c r="J52" s="860">
        <f t="shared" si="17"/>
        <v>3.8095238095238096E-4</v>
      </c>
      <c r="K52" s="741">
        <v>3.8846331922968698E-5</v>
      </c>
      <c r="L52" s="860">
        <v>3.8095199999999999E-4</v>
      </c>
      <c r="M52" s="745">
        <f t="shared" si="18"/>
        <v>0</v>
      </c>
      <c r="N52" s="861">
        <f t="shared" si="19"/>
        <v>1.0000000000428503E-6</v>
      </c>
    </row>
    <row r="53" spans="3:14" x14ac:dyDescent="0.25">
      <c r="C53" s="213">
        <v>42</v>
      </c>
      <c r="D53" s="214" t="s">
        <v>31</v>
      </c>
      <c r="E53" s="215">
        <f>C53</f>
        <v>42</v>
      </c>
      <c r="F53" s="213">
        <v>984</v>
      </c>
      <c r="G53" s="214" t="s">
        <v>20</v>
      </c>
      <c r="H53" s="498">
        <f>F53/1000</f>
        <v>0.98399999999999999</v>
      </c>
      <c r="I53" s="724">
        <f t="shared" si="16"/>
        <v>2.3890494132625746E-3</v>
      </c>
      <c r="J53" s="860">
        <f t="shared" si="17"/>
        <v>2.3428571428571427E-2</v>
      </c>
      <c r="K53" s="215">
        <v>2.3890500000000002E-3</v>
      </c>
      <c r="L53" s="860">
        <v>2.3428600000000001E-2</v>
      </c>
      <c r="M53" s="745">
        <f t="shared" si="18"/>
        <v>-2.4559451232574582E-7</v>
      </c>
      <c r="N53" s="861">
        <f t="shared" si="19"/>
        <v>-1.2195121952204846E-6</v>
      </c>
    </row>
    <row r="54" spans="3:14" ht="15.75" thickBot="1" x14ac:dyDescent="0.3">
      <c r="C54" s="227">
        <v>1450</v>
      </c>
      <c r="D54" s="228" t="s">
        <v>38</v>
      </c>
      <c r="E54" s="229">
        <f>C54*1609.4/3600</f>
        <v>648.23055555555561</v>
      </c>
      <c r="F54" s="227">
        <v>12800</v>
      </c>
      <c r="G54" s="228" t="s">
        <v>20</v>
      </c>
      <c r="H54" s="499">
        <f>F54/1000</f>
        <v>12.8</v>
      </c>
      <c r="I54" s="871">
        <f t="shared" si="16"/>
        <v>2.0135378399327628E-3</v>
      </c>
      <c r="J54" s="872">
        <f t="shared" si="17"/>
        <v>1.9746060857976627E-2</v>
      </c>
      <c r="K54" s="229">
        <v>2.0135399999999999E-3</v>
      </c>
      <c r="L54" s="872">
        <v>1.9746099999999999E-2</v>
      </c>
      <c r="M54" s="752">
        <f t="shared" si="18"/>
        <v>-1.0727721099740448E-6</v>
      </c>
      <c r="N54" s="873">
        <f t="shared" si="19"/>
        <v>-1.9822699653387491E-6</v>
      </c>
    </row>
    <row r="55" spans="3:14" ht="15.75" thickTop="1" x14ac:dyDescent="0.25">
      <c r="C55" s="1639">
        <v>154</v>
      </c>
      <c r="D55" s="127" t="s">
        <v>36</v>
      </c>
      <c r="E55" s="1640">
        <f>C55*1000/3600</f>
        <v>42.777777777777779</v>
      </c>
      <c r="F55" s="1639">
        <v>455</v>
      </c>
      <c r="G55" s="127" t="s">
        <v>21</v>
      </c>
      <c r="H55" s="142">
        <f>F55</f>
        <v>455</v>
      </c>
      <c r="I55" s="1775">
        <f t="shared" si="16"/>
        <v>1.0846072447128874</v>
      </c>
      <c r="J55" s="1776">
        <f t="shared" si="17"/>
        <v>10.636363636363637</v>
      </c>
      <c r="K55" s="1640">
        <v>1.0846100000000001</v>
      </c>
      <c r="L55" s="1776">
        <v>10.6364</v>
      </c>
      <c r="M55" s="1723">
        <f t="shared" si="18"/>
        <v>-2.5403547008551262E-6</v>
      </c>
      <c r="N55" s="1777">
        <f t="shared" si="19"/>
        <v>-3.4188034187802682E-6</v>
      </c>
    </row>
    <row r="56" spans="3:14" x14ac:dyDescent="0.25">
      <c r="C56" s="1648">
        <v>9</v>
      </c>
      <c r="D56" s="64" t="s">
        <v>37</v>
      </c>
      <c r="E56" s="1253">
        <f>C56/60</f>
        <v>0.15</v>
      </c>
      <c r="F56" s="1648">
        <v>65</v>
      </c>
      <c r="G56" s="64" t="s">
        <v>21</v>
      </c>
      <c r="H56" s="77">
        <f>F56</f>
        <v>65</v>
      </c>
      <c r="I56" s="1778">
        <f t="shared" si="16"/>
        <v>44.187702562376899</v>
      </c>
      <c r="J56" s="1762">
        <f t="shared" si="17"/>
        <v>433.33333333333337</v>
      </c>
      <c r="K56" s="1253">
        <v>44.1877</v>
      </c>
      <c r="L56" s="1762">
        <v>433.33300000000003</v>
      </c>
      <c r="M56" s="1726">
        <f t="shared" si="18"/>
        <v>5.7988461732981616E-8</v>
      </c>
      <c r="N56" s="1764">
        <f t="shared" si="19"/>
        <v>7.6923076925630497E-7</v>
      </c>
    </row>
    <row r="57" spans="3:14" x14ac:dyDescent="0.25">
      <c r="C57" s="1648">
        <v>5698</v>
      </c>
      <c r="D57" s="64" t="s">
        <v>31</v>
      </c>
      <c r="E57" s="1253">
        <f>C57</f>
        <v>5698</v>
      </c>
      <c r="F57" s="1648">
        <v>3222</v>
      </c>
      <c r="G57" s="64" t="s">
        <v>21</v>
      </c>
      <c r="H57" s="77">
        <f>F57</f>
        <v>3222</v>
      </c>
      <c r="I57" s="1778">
        <f t="shared" si="16"/>
        <v>5.7661032611703841E-2</v>
      </c>
      <c r="J57" s="1762">
        <f t="shared" si="17"/>
        <v>0.56546156546156545</v>
      </c>
      <c r="K57" s="1253">
        <v>5.7660999999999997E-2</v>
      </c>
      <c r="L57" s="1762">
        <v>0.56546200000000002</v>
      </c>
      <c r="M57" s="1726">
        <f t="shared" si="18"/>
        <v>5.6557613291359021E-7</v>
      </c>
      <c r="N57" s="1764">
        <f t="shared" si="19"/>
        <v>-7.6846679086599352E-7</v>
      </c>
    </row>
    <row r="58" spans="3:14" ht="15.75" thickBot="1" x14ac:dyDescent="0.3">
      <c r="C58" s="1768">
        <v>96</v>
      </c>
      <c r="D58" s="126" t="s">
        <v>38</v>
      </c>
      <c r="E58" s="1706">
        <f>C58*1609.4/3600</f>
        <v>42.917333333333339</v>
      </c>
      <c r="F58" s="1768">
        <v>8</v>
      </c>
      <c r="G58" s="126" t="s">
        <v>21</v>
      </c>
      <c r="H58" s="497">
        <f>F58</f>
        <v>8</v>
      </c>
      <c r="I58" s="1779">
        <f t="shared" si="16"/>
        <v>1.9008006952490272E-2</v>
      </c>
      <c r="J58" s="1780">
        <f t="shared" si="17"/>
        <v>0.18640487138063871</v>
      </c>
      <c r="K58" s="1706">
        <v>1.9008000000000001E-2</v>
      </c>
      <c r="L58" s="1780">
        <v>0.18640499999999999</v>
      </c>
      <c r="M58" s="1730">
        <f t="shared" si="18"/>
        <v>3.6576639983205204E-7</v>
      </c>
      <c r="N58" s="1781">
        <f t="shared" si="19"/>
        <v>-6.9000000010717906E-7</v>
      </c>
    </row>
    <row r="59" spans="3:14" ht="15.75" thickTop="1" x14ac:dyDescent="0.25"/>
  </sheetData>
  <mergeCells count="31">
    <mergeCell ref="M36:N36"/>
    <mergeCell ref="I37:J37"/>
    <mergeCell ref="K37:L37"/>
    <mergeCell ref="M37:N37"/>
    <mergeCell ref="C36:H36"/>
    <mergeCell ref="C37:E37"/>
    <mergeCell ref="F37:H37"/>
    <mergeCell ref="I36:J36"/>
    <mergeCell ref="K36:L36"/>
    <mergeCell ref="C2:J2"/>
    <mergeCell ref="C4:E4"/>
    <mergeCell ref="H4:I4"/>
    <mergeCell ref="C8:H8"/>
    <mergeCell ref="C9:E9"/>
    <mergeCell ref="F9:H9"/>
    <mergeCell ref="I8:M8"/>
    <mergeCell ref="E6:G6"/>
    <mergeCell ref="N8:R8"/>
    <mergeCell ref="S8:W8"/>
    <mergeCell ref="I9:M9"/>
    <mergeCell ref="N9:R9"/>
    <mergeCell ref="S9:W9"/>
    <mergeCell ref="Q21:T21"/>
    <mergeCell ref="I22:L22"/>
    <mergeCell ref="M22:P22"/>
    <mergeCell ref="Q22:T22"/>
    <mergeCell ref="C21:H21"/>
    <mergeCell ref="C22:E22"/>
    <mergeCell ref="F22:H22"/>
    <mergeCell ref="I21:L21"/>
    <mergeCell ref="M21:P21"/>
  </mergeCells>
  <conditionalFormatting sqref="S11:W18 Q24:T33 M39:N58">
    <cfRule type="cellIs" dxfId="1" priority="1" operator="notBetween">
      <formula>-0.001</formula>
      <formula>0.001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AL45"/>
  <sheetViews>
    <sheetView zoomScaleNormal="100" workbookViewId="0">
      <selection activeCell="B2" sqref="B2"/>
    </sheetView>
  </sheetViews>
  <sheetFormatPr defaultColWidth="18.7109375" defaultRowHeight="15" x14ac:dyDescent="0.25"/>
  <cols>
    <col min="1" max="2" width="5.7109375" style="9" customWidth="1"/>
    <col min="3" max="3" width="12.7109375" style="9" customWidth="1"/>
    <col min="4" max="4" width="10.7109375" style="9" customWidth="1"/>
    <col min="5" max="5" width="18.7109375" style="9"/>
    <col min="6" max="6" width="12.7109375" style="9" customWidth="1"/>
    <col min="7" max="7" width="10.7109375" style="9" customWidth="1"/>
    <col min="8" max="16384" width="18.7109375" style="9"/>
  </cols>
  <sheetData>
    <row r="2" spans="3:38" ht="21" x14ac:dyDescent="0.35">
      <c r="C2" s="2490" t="s">
        <v>26</v>
      </c>
      <c r="D2" s="2491"/>
      <c r="E2" s="2491"/>
      <c r="F2" s="2491"/>
      <c r="G2" s="2491"/>
      <c r="H2" s="2491"/>
      <c r="I2" s="2491"/>
      <c r="J2" s="2491"/>
    </row>
    <row r="3" spans="3:38" x14ac:dyDescent="0.25"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</row>
    <row r="4" spans="3:38" x14ac:dyDescent="0.25">
      <c r="C4" s="2501" t="s">
        <v>22</v>
      </c>
      <c r="D4" s="2502"/>
      <c r="E4" s="2503"/>
      <c r="F4" s="20"/>
      <c r="G4" s="20"/>
      <c r="H4" s="2501" t="s">
        <v>23</v>
      </c>
      <c r="I4" s="2503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</row>
    <row r="5" spans="3:38" ht="15.75" thickBot="1" x14ac:dyDescent="0.3"/>
    <row r="6" spans="3:38" ht="19.5" thickBot="1" x14ac:dyDescent="0.35">
      <c r="E6" s="2497" t="s">
        <v>133</v>
      </c>
      <c r="F6" s="2498"/>
      <c r="G6" s="2499"/>
    </row>
    <row r="7" spans="3:38" ht="15.75" thickBot="1" x14ac:dyDescent="0.3"/>
    <row r="8" spans="3:38" ht="15.75" thickTop="1" x14ac:dyDescent="0.25">
      <c r="C8" s="2488" t="s">
        <v>0</v>
      </c>
      <c r="D8" s="2489"/>
      <c r="E8" s="2489"/>
      <c r="F8" s="2489"/>
      <c r="G8" s="2489"/>
      <c r="H8" s="2495"/>
      <c r="I8" s="2483" t="s">
        <v>158</v>
      </c>
      <c r="J8" s="2484"/>
      <c r="K8" s="2484"/>
      <c r="L8" s="2484"/>
      <c r="M8" s="2485"/>
      <c r="N8" s="2488" t="s">
        <v>16</v>
      </c>
      <c r="O8" s="2489"/>
      <c r="P8" s="2489"/>
      <c r="Q8" s="2489"/>
      <c r="R8" s="2489"/>
      <c r="S8" s="2483" t="s">
        <v>8</v>
      </c>
      <c r="T8" s="2484"/>
      <c r="U8" s="2484"/>
      <c r="V8" s="2484"/>
      <c r="W8" s="2485"/>
    </row>
    <row r="9" spans="3:38" ht="15.75" thickBot="1" x14ac:dyDescent="0.3">
      <c r="C9" s="2486" t="s">
        <v>141</v>
      </c>
      <c r="D9" s="2487"/>
      <c r="E9" s="2487"/>
      <c r="F9" s="2486" t="s">
        <v>149</v>
      </c>
      <c r="G9" s="2487"/>
      <c r="H9" s="2496"/>
      <c r="I9" s="2480" t="s">
        <v>1</v>
      </c>
      <c r="J9" s="2481"/>
      <c r="K9" s="2481"/>
      <c r="L9" s="2481"/>
      <c r="M9" s="2481"/>
      <c r="N9" s="2486" t="s">
        <v>1</v>
      </c>
      <c r="O9" s="2487"/>
      <c r="P9" s="2487"/>
      <c r="Q9" s="2487"/>
      <c r="R9" s="2487"/>
      <c r="S9" s="2480" t="s">
        <v>1</v>
      </c>
      <c r="T9" s="2481"/>
      <c r="U9" s="2481"/>
      <c r="V9" s="2481"/>
      <c r="W9" s="2482"/>
    </row>
    <row r="10" spans="3:38" ht="15.75" thickBot="1" x14ac:dyDescent="0.3">
      <c r="C10" s="14" t="s">
        <v>3</v>
      </c>
      <c r="D10" s="65" t="s">
        <v>4</v>
      </c>
      <c r="E10" s="50" t="s">
        <v>83</v>
      </c>
      <c r="F10" s="14" t="s">
        <v>3</v>
      </c>
      <c r="G10" s="65" t="s">
        <v>4</v>
      </c>
      <c r="H10" s="52" t="s">
        <v>113</v>
      </c>
      <c r="I10" s="13" t="s">
        <v>24</v>
      </c>
      <c r="J10" s="79" t="s">
        <v>19</v>
      </c>
      <c r="K10" s="79" t="s">
        <v>18</v>
      </c>
      <c r="L10" s="79" t="s">
        <v>20</v>
      </c>
      <c r="M10" s="54" t="s">
        <v>21</v>
      </c>
      <c r="N10" s="14" t="s">
        <v>24</v>
      </c>
      <c r="O10" s="80" t="s">
        <v>19</v>
      </c>
      <c r="P10" s="80" t="s">
        <v>18</v>
      </c>
      <c r="Q10" s="80" t="s">
        <v>20</v>
      </c>
      <c r="R10" s="52" t="s">
        <v>21</v>
      </c>
      <c r="S10" s="13" t="s">
        <v>24</v>
      </c>
      <c r="T10" s="79" t="s">
        <v>19</v>
      </c>
      <c r="U10" s="79" t="s">
        <v>18</v>
      </c>
      <c r="V10" s="79" t="s">
        <v>20</v>
      </c>
      <c r="W10" s="54" t="s">
        <v>21</v>
      </c>
    </row>
    <row r="11" spans="3:38" ht="15.75" thickTop="1" x14ac:dyDescent="0.25">
      <c r="C11" s="1248">
        <v>12987</v>
      </c>
      <c r="D11" s="877" t="s">
        <v>82</v>
      </c>
      <c r="E11" s="878">
        <f>C11/100</f>
        <v>129.87</v>
      </c>
      <c r="F11" s="875">
        <v>966</v>
      </c>
      <c r="G11" s="877" t="s">
        <v>113</v>
      </c>
      <c r="H11" s="875">
        <f>F11</f>
        <v>966</v>
      </c>
      <c r="I11" s="937">
        <f>K11/0.74569987158227</f>
        <v>17.617752988481687</v>
      </c>
      <c r="J11" s="935">
        <f>M11/9.80665</f>
        <v>1339.6578995965949</v>
      </c>
      <c r="K11" s="935">
        <f>M11/1000</f>
        <v>13.137556141078948</v>
      </c>
      <c r="L11" s="935">
        <f>M11*1000</f>
        <v>13137556.141078947</v>
      </c>
      <c r="M11" s="939">
        <f>E11*2*PI()*H11/60</f>
        <v>13137.556141078947</v>
      </c>
      <c r="N11" s="937">
        <v>17.617799999999999</v>
      </c>
      <c r="O11" s="935">
        <v>1339.66</v>
      </c>
      <c r="P11" s="935">
        <v>13.137600000000001</v>
      </c>
      <c r="Q11" s="938">
        <v>13137556</v>
      </c>
      <c r="R11" s="939">
        <v>13137.6</v>
      </c>
      <c r="S11" s="1125">
        <f xml:space="preserve"> (I11-N11)/I11</f>
        <v>-2.6684173823259864E-6</v>
      </c>
      <c r="T11" s="995">
        <f t="shared" ref="T11:W12" si="0" xml:space="preserve"> (J11-O11)/J11</f>
        <v>-1.567865501930151E-6</v>
      </c>
      <c r="U11" s="995">
        <f t="shared" si="0"/>
        <v>-3.3384383352735111E-6</v>
      </c>
      <c r="V11" s="995">
        <f t="shared" si="0"/>
        <v>1.0738598990327728E-8</v>
      </c>
      <c r="W11" s="996">
        <f t="shared" si="0"/>
        <v>-3.3384383352951452E-6</v>
      </c>
    </row>
    <row r="12" spans="3:38" ht="15.75" thickBot="1" x14ac:dyDescent="0.3">
      <c r="C12" s="1051">
        <v>340</v>
      </c>
      <c r="D12" s="1052" t="s">
        <v>83</v>
      </c>
      <c r="E12" s="1055">
        <f>C12</f>
        <v>340</v>
      </c>
      <c r="F12" s="1053">
        <v>15600</v>
      </c>
      <c r="G12" s="1052" t="s">
        <v>113</v>
      </c>
      <c r="H12" s="1053">
        <f>F12</f>
        <v>15600</v>
      </c>
      <c r="I12" s="1168">
        <f>K12/0.74569987158227</f>
        <v>744.84870163129267</v>
      </c>
      <c r="J12" s="1169">
        <f>M12/9.80665</f>
        <v>56638.46279358145</v>
      </c>
      <c r="K12" s="1169">
        <f>M12/1000</f>
        <v>555.43358115467549</v>
      </c>
      <c r="L12" s="1169">
        <f>M12*1000</f>
        <v>555433581.15467548</v>
      </c>
      <c r="M12" s="1221">
        <f>E12*2*PI()*H12/60</f>
        <v>555433.58115467546</v>
      </c>
      <c r="N12" s="1053">
        <v>744.84900000000005</v>
      </c>
      <c r="O12" s="1054">
        <v>56638.5</v>
      </c>
      <c r="P12" s="1054">
        <v>555.43399999999997</v>
      </c>
      <c r="Q12" s="1054">
        <v>555433581</v>
      </c>
      <c r="R12" s="1053">
        <v>555434</v>
      </c>
      <c r="S12" s="980">
        <f xml:space="preserve"> (I12-N12)/I12</f>
        <v>-4.0057626028357492E-7</v>
      </c>
      <c r="T12" s="981">
        <f t="shared" si="0"/>
        <v>-6.5691081140282775E-7</v>
      </c>
      <c r="U12" s="981">
        <f t="shared" si="0"/>
        <v>-7.5408714684551217E-7</v>
      </c>
      <c r="V12" s="981">
        <f t="shared" si="0"/>
        <v>2.7847701138642483E-10</v>
      </c>
      <c r="W12" s="982">
        <f t="shared" si="0"/>
        <v>-7.5408714696995836E-7</v>
      </c>
    </row>
    <row r="13" spans="3:38" ht="15.75" thickTop="1" x14ac:dyDescent="0.25">
      <c r="C13" s="1431">
        <v>329</v>
      </c>
      <c r="D13" s="1333" t="s">
        <v>82</v>
      </c>
      <c r="E13" s="1370">
        <f>C13/100</f>
        <v>3.29</v>
      </c>
      <c r="F13" s="1334">
        <v>12600</v>
      </c>
      <c r="G13" s="1333" t="s">
        <v>114</v>
      </c>
      <c r="H13" s="1334">
        <f>F13*60</f>
        <v>756000</v>
      </c>
      <c r="I13" s="1539">
        <f>K13/0.74569987158227</f>
        <v>349.28685607945249</v>
      </c>
      <c r="J13" s="1540">
        <f>M13/9.80665</f>
        <v>26559.851093270645</v>
      </c>
      <c r="K13" s="1540">
        <f>M13/1000</f>
        <v>260.46316372382256</v>
      </c>
      <c r="L13" s="1540">
        <f>M13*1000</f>
        <v>260463163.72382256</v>
      </c>
      <c r="M13" s="1622">
        <f>E13*2*PI()*H13/60</f>
        <v>260463.16372382257</v>
      </c>
      <c r="N13" s="1334">
        <v>349.28699999999998</v>
      </c>
      <c r="O13" s="1442">
        <v>26559.9</v>
      </c>
      <c r="P13" s="1442">
        <v>260.46300000000002</v>
      </c>
      <c r="Q13" s="1442">
        <v>260463164</v>
      </c>
      <c r="R13" s="1334">
        <v>260463</v>
      </c>
      <c r="S13" s="1265">
        <f xml:space="preserve"> (I13-N13)/I13</f>
        <v>-4.1204112030470741E-7</v>
      </c>
      <c r="T13" s="1266">
        <f t="shared" ref="T13:W14" si="1" xml:space="preserve"> (J13-O13)/J13</f>
        <v>-1.8413781457126684E-6</v>
      </c>
      <c r="U13" s="1266">
        <f t="shared" si="1"/>
        <v>6.2858724511266354E-7</v>
      </c>
      <c r="V13" s="1266">
        <f t="shared" si="1"/>
        <v>-1.0603320337696479E-9</v>
      </c>
      <c r="W13" s="1267">
        <f t="shared" si="1"/>
        <v>6.2858724522091043E-7</v>
      </c>
    </row>
    <row r="14" spans="3:38" ht="15.75" thickBot="1" x14ac:dyDescent="0.3">
      <c r="C14" s="1440">
        <v>960</v>
      </c>
      <c r="D14" s="1348" t="s">
        <v>83</v>
      </c>
      <c r="E14" s="1375">
        <f>C14</f>
        <v>960</v>
      </c>
      <c r="F14" s="1351">
        <v>45</v>
      </c>
      <c r="G14" s="1348" t="s">
        <v>114</v>
      </c>
      <c r="H14" s="1351">
        <f>F14*60</f>
        <v>2700</v>
      </c>
      <c r="I14" s="1557">
        <f>K14/0.74569987158227</f>
        <v>363.99846052569944</v>
      </c>
      <c r="J14" s="1558">
        <f>M14/9.80665</f>
        <v>27678.524804103145</v>
      </c>
      <c r="K14" s="1558">
        <f>M14/1000</f>
        <v>271.43360527015807</v>
      </c>
      <c r="L14" s="1558">
        <f>M14*1000</f>
        <v>271433605.27015811</v>
      </c>
      <c r="M14" s="1378">
        <f>E14*2*PI()*H14/60</f>
        <v>271433.60527015809</v>
      </c>
      <c r="N14" s="1351">
        <v>363.99799999999999</v>
      </c>
      <c r="O14" s="1451">
        <v>27678.5</v>
      </c>
      <c r="P14" s="1451">
        <v>271.43400000000003</v>
      </c>
      <c r="Q14" s="1451">
        <v>271433605</v>
      </c>
      <c r="R14" s="1351">
        <v>271434</v>
      </c>
      <c r="S14" s="1296">
        <f xml:space="preserve"> (I14-N14)/I14</f>
        <v>1.2651858438829969E-6</v>
      </c>
      <c r="T14" s="1297">
        <f t="shared" si="1"/>
        <v>8.9614975220369791E-7</v>
      </c>
      <c r="U14" s="1297">
        <f t="shared" si="1"/>
        <v>-1.4542408688292921E-6</v>
      </c>
      <c r="V14" s="1297">
        <f t="shared" si="1"/>
        <v>9.9530090159696393E-10</v>
      </c>
      <c r="W14" s="1298">
        <f t="shared" si="1"/>
        <v>-1.4542408686466783E-6</v>
      </c>
    </row>
    <row r="15" spans="3:38" ht="15.75" thickTop="1" x14ac:dyDescent="0.25"/>
    <row r="16" spans="3:38" ht="15.75" thickBot="1" x14ac:dyDescent="0.3"/>
    <row r="17" spans="3:14" ht="15.75" thickTop="1" x14ac:dyDescent="0.25">
      <c r="C17" s="2488" t="s">
        <v>0</v>
      </c>
      <c r="D17" s="2489"/>
      <c r="E17" s="2489"/>
      <c r="F17" s="2489"/>
      <c r="G17" s="2489"/>
      <c r="H17" s="2495"/>
      <c r="I17" s="2506" t="s">
        <v>158</v>
      </c>
      <c r="J17" s="2519"/>
      <c r="K17" s="2509" t="s">
        <v>17</v>
      </c>
      <c r="L17" s="2523"/>
      <c r="M17" s="2519" t="s">
        <v>8</v>
      </c>
      <c r="N17" s="2522"/>
    </row>
    <row r="18" spans="3:14" ht="15.75" thickBot="1" x14ac:dyDescent="0.3">
      <c r="C18" s="2486" t="s">
        <v>141</v>
      </c>
      <c r="D18" s="2487"/>
      <c r="E18" s="2487"/>
      <c r="F18" s="2486" t="s">
        <v>1</v>
      </c>
      <c r="G18" s="2487"/>
      <c r="H18" s="2496"/>
      <c r="I18" s="2480" t="s">
        <v>149</v>
      </c>
      <c r="J18" s="2481"/>
      <c r="K18" s="2486" t="s">
        <v>149</v>
      </c>
      <c r="L18" s="2487"/>
      <c r="M18" s="2480" t="s">
        <v>149</v>
      </c>
      <c r="N18" s="2482"/>
    </row>
    <row r="19" spans="3:14" ht="15.75" thickBot="1" x14ac:dyDescent="0.3">
      <c r="C19" s="14" t="s">
        <v>3</v>
      </c>
      <c r="D19" s="65" t="s">
        <v>4</v>
      </c>
      <c r="E19" s="50" t="s">
        <v>83</v>
      </c>
      <c r="F19" s="14" t="s">
        <v>3</v>
      </c>
      <c r="G19" s="65" t="s">
        <v>4</v>
      </c>
      <c r="H19" s="52" t="s">
        <v>21</v>
      </c>
      <c r="I19" s="79" t="s">
        <v>113</v>
      </c>
      <c r="J19" s="2196" t="s">
        <v>114</v>
      </c>
      <c r="K19" s="14" t="s">
        <v>113</v>
      </c>
      <c r="L19" s="2194" t="s">
        <v>114</v>
      </c>
      <c r="M19" s="2197" t="s">
        <v>113</v>
      </c>
      <c r="N19" s="2195" t="s">
        <v>114</v>
      </c>
    </row>
    <row r="20" spans="3:14" ht="15.75" thickTop="1" x14ac:dyDescent="0.25">
      <c r="C20" s="968">
        <v>520</v>
      </c>
      <c r="D20" s="964" t="s">
        <v>82</v>
      </c>
      <c r="E20" s="967">
        <f>C20/100</f>
        <v>5.2</v>
      </c>
      <c r="F20" s="1108">
        <v>9</v>
      </c>
      <c r="G20" s="964" t="s">
        <v>24</v>
      </c>
      <c r="H20" s="967">
        <f>F20*0.74569987158227*1000</f>
        <v>6711.2988442404294</v>
      </c>
      <c r="I20" s="965">
        <f>(60*H20)/(2*PI()*E20)</f>
        <v>12324.65060339756</v>
      </c>
      <c r="J20" s="1249">
        <f>I20/60</f>
        <v>205.41084338995933</v>
      </c>
      <c r="K20" s="968">
        <v>12324.7</v>
      </c>
      <c r="L20" s="1250">
        <v>205.411</v>
      </c>
      <c r="M20" s="1251">
        <f xml:space="preserve"> (I20-K20)/I20</f>
        <v>-4.0079515460601264E-6</v>
      </c>
      <c r="N20" s="887">
        <f xml:space="preserve"> (J20-L20)/J20</f>
        <v>-7.6242343437988568E-7</v>
      </c>
    </row>
    <row r="21" spans="3:14" ht="15.75" thickBot="1" x14ac:dyDescent="0.3">
      <c r="C21" s="1064">
        <v>488</v>
      </c>
      <c r="D21" s="953" t="s">
        <v>83</v>
      </c>
      <c r="E21" s="954">
        <f>C21</f>
        <v>488</v>
      </c>
      <c r="F21" s="952">
        <v>25</v>
      </c>
      <c r="G21" s="953" t="s">
        <v>24</v>
      </c>
      <c r="H21" s="954">
        <f>F21*0.74569987158227*1000</f>
        <v>18642.496789556753</v>
      </c>
      <c r="I21" s="1065">
        <f t="shared" ref="I21:I29" si="2">(60*H21)/(2*PI()*E21)</f>
        <v>364.80067815156718</v>
      </c>
      <c r="J21" s="1188">
        <f t="shared" ref="J21:J29" si="3">I21/60</f>
        <v>6.0800113025261195</v>
      </c>
      <c r="K21" s="1064">
        <v>364.80099999999999</v>
      </c>
      <c r="L21" s="1240">
        <v>6.0800099999999997</v>
      </c>
      <c r="M21" s="1190">
        <f t="shared" ref="M21:M29" si="4" xml:space="preserve"> (I21-K21)/I21</f>
        <v>-8.8225831825551321E-7</v>
      </c>
      <c r="N21" s="913">
        <f t="shared" ref="N21:N29" si="5" xml:space="preserve"> (J21-L21)/J21</f>
        <v>2.1423087146392938E-7</v>
      </c>
    </row>
    <row r="22" spans="3:14" ht="15.75" thickTop="1" x14ac:dyDescent="0.25">
      <c r="C22" s="1431">
        <v>999</v>
      </c>
      <c r="D22" s="1333" t="s">
        <v>82</v>
      </c>
      <c r="E22" s="1370">
        <f>C22/100</f>
        <v>9.99</v>
      </c>
      <c r="F22" s="1332">
        <v>323</v>
      </c>
      <c r="G22" s="1333" t="s">
        <v>19</v>
      </c>
      <c r="H22" s="1370">
        <f>F22*9.80665</f>
        <v>3167.5479499999997</v>
      </c>
      <c r="I22" s="1334">
        <f t="shared" si="2"/>
        <v>3027.8132956342324</v>
      </c>
      <c r="J22" s="1548">
        <f t="shared" si="3"/>
        <v>50.463554927237205</v>
      </c>
      <c r="K22" s="1431">
        <v>3027.81</v>
      </c>
      <c r="L22" s="1616">
        <v>50.4636</v>
      </c>
      <c r="M22" s="1550">
        <f t="shared" si="4"/>
        <v>1.0884535837213946E-6</v>
      </c>
      <c r="N22" s="1267">
        <f t="shared" si="5"/>
        <v>-8.9317454665972429E-7</v>
      </c>
    </row>
    <row r="23" spans="3:14" ht="15.75" thickBot="1" x14ac:dyDescent="0.3">
      <c r="C23" s="1440">
        <v>1250</v>
      </c>
      <c r="D23" s="1348" t="s">
        <v>83</v>
      </c>
      <c r="E23" s="1375">
        <f>C23</f>
        <v>1250</v>
      </c>
      <c r="F23" s="1347">
        <v>996</v>
      </c>
      <c r="G23" s="1348" t="s">
        <v>19</v>
      </c>
      <c r="H23" s="1375">
        <f>F23* 9.80665</f>
        <v>9767.4233999999997</v>
      </c>
      <c r="I23" s="1351">
        <f t="shared" si="2"/>
        <v>74.617618338309441</v>
      </c>
      <c r="J23" s="1554">
        <f t="shared" si="3"/>
        <v>1.2436269723051574</v>
      </c>
      <c r="K23" s="1440">
        <v>74.617599999999996</v>
      </c>
      <c r="L23" s="1619">
        <v>1.24363</v>
      </c>
      <c r="M23" s="1556">
        <f t="shared" si="4"/>
        <v>2.4576380020673006E-7</v>
      </c>
      <c r="N23" s="1298">
        <f t="shared" si="5"/>
        <v>-2.4345683312131812E-6</v>
      </c>
    </row>
    <row r="24" spans="3:14" ht="15.75" thickTop="1" x14ac:dyDescent="0.25">
      <c r="C24" s="313">
        <v>780</v>
      </c>
      <c r="D24" s="61" t="s">
        <v>82</v>
      </c>
      <c r="E24" s="48">
        <f>C24/100</f>
        <v>7.8</v>
      </c>
      <c r="F24" s="92">
        <v>840</v>
      </c>
      <c r="G24" s="61" t="s">
        <v>18</v>
      </c>
      <c r="H24" s="48">
        <f>F24*1000</f>
        <v>840000</v>
      </c>
      <c r="I24" s="45">
        <f t="shared" si="2"/>
        <v>1028385.7861322468</v>
      </c>
      <c r="J24" s="727">
        <f t="shared" si="3"/>
        <v>17139.763102204113</v>
      </c>
      <c r="K24" s="313">
        <v>1028386</v>
      </c>
      <c r="L24" s="715">
        <v>17139.8</v>
      </c>
      <c r="M24" s="709">
        <f t="shared" si="4"/>
        <v>-2.0796451686327188E-7</v>
      </c>
      <c r="N24" s="192">
        <f t="shared" si="5"/>
        <v>-2.1527599690855248E-6</v>
      </c>
    </row>
    <row r="25" spans="3:14" ht="15.75" thickBot="1" x14ac:dyDescent="0.3">
      <c r="C25" s="316">
        <v>463</v>
      </c>
      <c r="D25" s="290" t="s">
        <v>83</v>
      </c>
      <c r="E25" s="291">
        <f>C25</f>
        <v>463</v>
      </c>
      <c r="F25" s="141">
        <v>5544</v>
      </c>
      <c r="G25" s="290" t="s">
        <v>18</v>
      </c>
      <c r="H25" s="291">
        <f>F25*1000</f>
        <v>5544000</v>
      </c>
      <c r="I25" s="294">
        <f t="shared" si="2"/>
        <v>114344.06105850554</v>
      </c>
      <c r="J25" s="726">
        <f t="shared" si="3"/>
        <v>1905.7343509750924</v>
      </c>
      <c r="K25" s="316">
        <v>114344</v>
      </c>
      <c r="L25" s="717">
        <v>1905.73</v>
      </c>
      <c r="M25" s="706">
        <f t="shared" si="4"/>
        <v>5.3398930364114194E-7</v>
      </c>
      <c r="N25" s="164">
        <f t="shared" si="5"/>
        <v>2.2830963246094072E-6</v>
      </c>
    </row>
    <row r="26" spans="3:14" ht="15.75" thickTop="1" x14ac:dyDescent="0.25">
      <c r="C26" s="420">
        <v>840</v>
      </c>
      <c r="D26" s="383" t="s">
        <v>82</v>
      </c>
      <c r="E26" s="390">
        <f>C26/100</f>
        <v>8.4</v>
      </c>
      <c r="F26" s="382">
        <v>1122</v>
      </c>
      <c r="G26" s="383" t="s">
        <v>20</v>
      </c>
      <c r="H26" s="442">
        <f>F26/1000</f>
        <v>1.1220000000000001</v>
      </c>
      <c r="I26" s="384">
        <f t="shared" si="2"/>
        <v>1.2755131867793328</v>
      </c>
      <c r="J26" s="728">
        <f t="shared" si="3"/>
        <v>2.1258553112988878E-2</v>
      </c>
      <c r="K26" s="420">
        <v>1.2755099999999999</v>
      </c>
      <c r="L26" s="719">
        <v>2.1258599999999999E-2</v>
      </c>
      <c r="M26" s="713">
        <f t="shared" si="4"/>
        <v>2.4984291545514982E-6</v>
      </c>
      <c r="N26" s="212">
        <f t="shared" si="5"/>
        <v>-2.205559845567745E-6</v>
      </c>
    </row>
    <row r="27" spans="3:14" ht="15.75" thickBot="1" x14ac:dyDescent="0.3">
      <c r="C27" s="422">
        <v>633</v>
      </c>
      <c r="D27" s="228" t="s">
        <v>83</v>
      </c>
      <c r="E27" s="230">
        <f>C27</f>
        <v>633</v>
      </c>
      <c r="F27" s="227">
        <v>633</v>
      </c>
      <c r="G27" s="228" t="s">
        <v>20</v>
      </c>
      <c r="H27" s="499">
        <f>F27/1000</f>
        <v>0.63300000000000001</v>
      </c>
      <c r="I27" s="229">
        <f t="shared" si="2"/>
        <v>9.5492965855137214E-3</v>
      </c>
      <c r="J27" s="871">
        <f t="shared" si="3"/>
        <v>1.5915494309189535E-4</v>
      </c>
      <c r="K27" s="422">
        <v>9.5493000000000001E-3</v>
      </c>
      <c r="L27" s="872">
        <v>1.5915499999999999E-4</v>
      </c>
      <c r="M27" s="874">
        <f t="shared" si="4"/>
        <v>-3.5756416697414539E-7</v>
      </c>
      <c r="N27" s="439">
        <f t="shared" si="5"/>
        <v>-3.5756416692873044E-7</v>
      </c>
    </row>
    <row r="28" spans="3:14" ht="15.75" thickTop="1" x14ac:dyDescent="0.25">
      <c r="C28" s="1679">
        <v>486</v>
      </c>
      <c r="D28" s="127" t="s">
        <v>82</v>
      </c>
      <c r="E28" s="1642">
        <f>C28/100</f>
        <v>4.8600000000000003</v>
      </c>
      <c r="F28" s="1639">
        <v>855</v>
      </c>
      <c r="G28" s="127" t="s">
        <v>21</v>
      </c>
      <c r="H28" s="142">
        <f>F28</f>
        <v>855</v>
      </c>
      <c r="I28" s="1640">
        <f t="shared" si="2"/>
        <v>1679.9688437477841</v>
      </c>
      <c r="J28" s="1775">
        <f t="shared" si="3"/>
        <v>27.999480729129736</v>
      </c>
      <c r="K28" s="1679">
        <v>1679.97</v>
      </c>
      <c r="L28" s="1776">
        <v>27.999500000000001</v>
      </c>
      <c r="M28" s="1782">
        <f t="shared" si="4"/>
        <v>-6.8825813060847998E-7</v>
      </c>
      <c r="N28" s="145">
        <f t="shared" si="5"/>
        <v>-6.8825813061693898E-7</v>
      </c>
    </row>
    <row r="29" spans="3:14" ht="15.75" thickBot="1" x14ac:dyDescent="0.3">
      <c r="C29" s="1705">
        <v>104</v>
      </c>
      <c r="D29" s="126" t="s">
        <v>83</v>
      </c>
      <c r="E29" s="129">
        <f>C29</f>
        <v>104</v>
      </c>
      <c r="F29" s="1768">
        <v>455</v>
      </c>
      <c r="G29" s="126" t="s">
        <v>21</v>
      </c>
      <c r="H29" s="497">
        <f>F29</f>
        <v>455</v>
      </c>
      <c r="I29" s="1706">
        <f t="shared" si="2"/>
        <v>41.778172561622526</v>
      </c>
      <c r="J29" s="1779">
        <f t="shared" si="3"/>
        <v>0.69630287602704211</v>
      </c>
      <c r="K29" s="1705">
        <v>41.778199999999998</v>
      </c>
      <c r="L29" s="1780">
        <v>0.69630300000000001</v>
      </c>
      <c r="M29" s="1783">
        <f t="shared" si="4"/>
        <v>-6.5676346737882071E-7</v>
      </c>
      <c r="N29" s="138">
        <f t="shared" si="5"/>
        <v>-1.7804458687118719E-7</v>
      </c>
    </row>
    <row r="30" spans="3:14" ht="15.75" thickTop="1" x14ac:dyDescent="0.25"/>
    <row r="31" spans="3:14" ht="15.75" thickBot="1" x14ac:dyDescent="0.3"/>
    <row r="32" spans="3:14" ht="15.75" thickTop="1" x14ac:dyDescent="0.25">
      <c r="C32" s="2509" t="s">
        <v>0</v>
      </c>
      <c r="D32" s="2516"/>
      <c r="E32" s="2516"/>
      <c r="F32" s="2516"/>
      <c r="G32" s="2516"/>
      <c r="H32" s="2523"/>
      <c r="I32" s="2506" t="s">
        <v>158</v>
      </c>
      <c r="J32" s="2519"/>
      <c r="K32" s="2509" t="s">
        <v>17</v>
      </c>
      <c r="L32" s="2523"/>
      <c r="M32" s="2519" t="s">
        <v>8</v>
      </c>
      <c r="N32" s="2522"/>
    </row>
    <row r="33" spans="3:14" ht="15.75" thickBot="1" x14ac:dyDescent="0.3">
      <c r="C33" s="2486" t="s">
        <v>149</v>
      </c>
      <c r="D33" s="2487"/>
      <c r="E33" s="2496"/>
      <c r="F33" s="2486" t="s">
        <v>1</v>
      </c>
      <c r="G33" s="2487"/>
      <c r="H33" s="2496"/>
      <c r="I33" s="2480" t="s">
        <v>141</v>
      </c>
      <c r="J33" s="2481"/>
      <c r="K33" s="2486" t="s">
        <v>141</v>
      </c>
      <c r="L33" s="2487"/>
      <c r="M33" s="2480" t="s">
        <v>141</v>
      </c>
      <c r="N33" s="2482"/>
    </row>
    <row r="34" spans="3:14" ht="15.75" thickBot="1" x14ac:dyDescent="0.3">
      <c r="C34" s="14" t="s">
        <v>3</v>
      </c>
      <c r="D34" s="65" t="s">
        <v>4</v>
      </c>
      <c r="E34" s="50" t="s">
        <v>113</v>
      </c>
      <c r="F34" s="14" t="s">
        <v>3</v>
      </c>
      <c r="G34" s="65" t="s">
        <v>4</v>
      </c>
      <c r="H34" s="52" t="s">
        <v>21</v>
      </c>
      <c r="I34" s="79" t="s">
        <v>82</v>
      </c>
      <c r="J34" s="53" t="s">
        <v>83</v>
      </c>
      <c r="K34" s="14" t="s">
        <v>82</v>
      </c>
      <c r="L34" s="2194" t="s">
        <v>83</v>
      </c>
      <c r="M34" s="53" t="s">
        <v>82</v>
      </c>
      <c r="N34" s="2195" t="s">
        <v>83</v>
      </c>
    </row>
    <row r="35" spans="3:14" ht="15.75" thickTop="1" x14ac:dyDescent="0.25">
      <c r="C35" s="1108">
        <v>520</v>
      </c>
      <c r="D35" s="964" t="s">
        <v>113</v>
      </c>
      <c r="E35" s="967">
        <f>C35</f>
        <v>520</v>
      </c>
      <c r="F35" s="1108">
        <v>150</v>
      </c>
      <c r="G35" s="964" t="s">
        <v>24</v>
      </c>
      <c r="H35" s="967">
        <f>F35*0.74569987158227*1000</f>
        <v>111854.98073734049</v>
      </c>
      <c r="I35" s="1085">
        <f>J35*100</f>
        <v>205410.84338995934</v>
      </c>
      <c r="J35" s="1249">
        <f>(60*H35)/(2*PI()*E35)</f>
        <v>2054.1084338995934</v>
      </c>
      <c r="K35" s="968">
        <v>205411</v>
      </c>
      <c r="L35" s="1250">
        <v>2054.11</v>
      </c>
      <c r="M35" s="1104">
        <f xml:space="preserve"> (I35-K35)/I35</f>
        <v>-7.6242343431789801E-7</v>
      </c>
      <c r="N35" s="2159">
        <f xml:space="preserve"> (J35-L35)/J35</f>
        <v>-7.6242343437988558E-7</v>
      </c>
    </row>
    <row r="36" spans="3:14" ht="15.75" thickBot="1" x14ac:dyDescent="0.3">
      <c r="C36" s="1064">
        <v>399</v>
      </c>
      <c r="D36" s="953" t="s">
        <v>114</v>
      </c>
      <c r="E36" s="954">
        <f>C36*60</f>
        <v>23940</v>
      </c>
      <c r="F36" s="952">
        <v>499</v>
      </c>
      <c r="G36" s="953" t="s">
        <v>24</v>
      </c>
      <c r="H36" s="954">
        <f>F36*0.74569987158227*1000</f>
        <v>372104.23591955274</v>
      </c>
      <c r="I36" s="1066">
        <f t="shared" ref="I36:I44" si="6">J36*100</f>
        <v>14842.663782463564</v>
      </c>
      <c r="J36" s="1188">
        <f t="shared" ref="J36:J44" si="7">(60*H36)/(2*PI()*E36)</f>
        <v>148.42663782463563</v>
      </c>
      <c r="K36" s="1064">
        <v>14842.7</v>
      </c>
      <c r="L36" s="1240">
        <v>148.42699999999999</v>
      </c>
      <c r="M36" s="1116">
        <f t="shared" ref="M36:M44" si="8" xml:space="preserve"> (I36-K36)/I36</f>
        <v>-2.4400968025629942E-6</v>
      </c>
      <c r="N36" s="1241">
        <f t="shared" ref="N36:N44" si="9" xml:space="preserve"> (J36-L36)/J36</f>
        <v>-2.4400968024787403E-6</v>
      </c>
    </row>
    <row r="37" spans="3:14" ht="15.75" thickTop="1" x14ac:dyDescent="0.25">
      <c r="C37" s="1332">
        <v>645</v>
      </c>
      <c r="D37" s="1333" t="s">
        <v>113</v>
      </c>
      <c r="E37" s="1370">
        <f>C37</f>
        <v>645</v>
      </c>
      <c r="F37" s="1332">
        <v>785</v>
      </c>
      <c r="G37" s="1333" t="s">
        <v>19</v>
      </c>
      <c r="H37" s="1370">
        <f>F37*9.80665</f>
        <v>7698.2202499999994</v>
      </c>
      <c r="I37" s="1442">
        <f t="shared" si="6"/>
        <v>11397.300519047685</v>
      </c>
      <c r="J37" s="1548">
        <f t="shared" si="7"/>
        <v>113.97300519047685</v>
      </c>
      <c r="K37" s="1431">
        <v>11397.3</v>
      </c>
      <c r="L37" s="1616">
        <v>113.973</v>
      </c>
      <c r="M37" s="1432">
        <f t="shared" si="8"/>
        <v>4.5541282781552742E-8</v>
      </c>
      <c r="N37" s="1620">
        <f t="shared" si="9"/>
        <v>4.5541282751628067E-8</v>
      </c>
    </row>
    <row r="38" spans="3:14" ht="15.75" thickBot="1" x14ac:dyDescent="0.3">
      <c r="C38" s="1440">
        <v>152</v>
      </c>
      <c r="D38" s="1348" t="s">
        <v>114</v>
      </c>
      <c r="E38" s="1375">
        <f>C38*60</f>
        <v>9120</v>
      </c>
      <c r="F38" s="1347">
        <v>6</v>
      </c>
      <c r="G38" s="1348" t="s">
        <v>19</v>
      </c>
      <c r="H38" s="1375">
        <f>F38* 9.80665</f>
        <v>58.8399</v>
      </c>
      <c r="I38" s="1451">
        <f t="shared" si="6"/>
        <v>6.1609611421268511</v>
      </c>
      <c r="J38" s="1554">
        <f t="shared" si="7"/>
        <v>6.1609611421268508E-2</v>
      </c>
      <c r="K38" s="1440">
        <v>6.1609600000000002</v>
      </c>
      <c r="L38" s="1619">
        <v>6.16096E-2</v>
      </c>
      <c r="M38" s="1493">
        <f t="shared" si="8"/>
        <v>1.8538127810336956E-7</v>
      </c>
      <c r="N38" s="1621">
        <f t="shared" si="9"/>
        <v>1.8538127808084423E-7</v>
      </c>
    </row>
    <row r="39" spans="3:14" ht="15.75" thickTop="1" x14ac:dyDescent="0.25">
      <c r="C39" s="92">
        <v>845</v>
      </c>
      <c r="D39" s="61" t="s">
        <v>113</v>
      </c>
      <c r="E39" s="48">
        <f>C39</f>
        <v>845</v>
      </c>
      <c r="F39" s="92">
        <v>18</v>
      </c>
      <c r="G39" s="61" t="s">
        <v>18</v>
      </c>
      <c r="H39" s="48">
        <f>F39*1000</f>
        <v>18000</v>
      </c>
      <c r="I39" s="314">
        <f t="shared" si="6"/>
        <v>20341.696868549938</v>
      </c>
      <c r="J39" s="727">
        <f t="shared" si="7"/>
        <v>203.41696868549937</v>
      </c>
      <c r="K39" s="313">
        <v>20341.7</v>
      </c>
      <c r="L39" s="715">
        <v>203.417</v>
      </c>
      <c r="M39" s="299">
        <f t="shared" si="8"/>
        <v>-1.5394242098746937E-7</v>
      </c>
      <c r="N39" s="1637">
        <f t="shared" si="9"/>
        <v>-1.5394242099864708E-7</v>
      </c>
    </row>
    <row r="40" spans="3:14" ht="15.75" thickBot="1" x14ac:dyDescent="0.3">
      <c r="C40" s="316">
        <v>999</v>
      </c>
      <c r="D40" s="290" t="s">
        <v>114</v>
      </c>
      <c r="E40" s="291">
        <f>C40*60</f>
        <v>59940</v>
      </c>
      <c r="F40" s="141">
        <v>1366</v>
      </c>
      <c r="G40" s="290" t="s">
        <v>18</v>
      </c>
      <c r="H40" s="291">
        <f>F40*1000</f>
        <v>1366000</v>
      </c>
      <c r="I40" s="317">
        <f t="shared" si="6"/>
        <v>21762.327553906813</v>
      </c>
      <c r="J40" s="726">
        <f t="shared" si="7"/>
        <v>217.62327553906812</v>
      </c>
      <c r="K40" s="316">
        <v>21762.3</v>
      </c>
      <c r="L40" s="717">
        <v>217.62299999999999</v>
      </c>
      <c r="M40" s="735">
        <f t="shared" si="8"/>
        <v>1.2661286686893417E-6</v>
      </c>
      <c r="N40" s="1638">
        <f t="shared" si="9"/>
        <v>1.2661286686579977E-6</v>
      </c>
    </row>
    <row r="41" spans="3:14" ht="15.75" thickTop="1" x14ac:dyDescent="0.25">
      <c r="C41" s="382">
        <v>4</v>
      </c>
      <c r="D41" s="383" t="s">
        <v>113</v>
      </c>
      <c r="E41" s="390">
        <f>C41</f>
        <v>4</v>
      </c>
      <c r="F41" s="382">
        <v>2011</v>
      </c>
      <c r="G41" s="383" t="s">
        <v>20</v>
      </c>
      <c r="H41" s="442">
        <f>F41/1000</f>
        <v>2.0110000000000001</v>
      </c>
      <c r="I41" s="421">
        <f t="shared" si="6"/>
        <v>480.09088583670234</v>
      </c>
      <c r="J41" s="728">
        <f t="shared" si="7"/>
        <v>4.8009088583670234</v>
      </c>
      <c r="K41" s="420">
        <v>480.09100000000001</v>
      </c>
      <c r="L41" s="719">
        <v>4.80091</v>
      </c>
      <c r="M41" s="628">
        <f t="shared" si="8"/>
        <v>-2.3779517802744331E-7</v>
      </c>
      <c r="N41" s="870">
        <f t="shared" si="9"/>
        <v>-2.3779517801264313E-7</v>
      </c>
    </row>
    <row r="42" spans="3:14" ht="15.75" thickBot="1" x14ac:dyDescent="0.3">
      <c r="C42" s="422">
        <v>76</v>
      </c>
      <c r="D42" s="228" t="s">
        <v>114</v>
      </c>
      <c r="E42" s="230">
        <f>C42*60</f>
        <v>4560</v>
      </c>
      <c r="F42" s="227">
        <v>65</v>
      </c>
      <c r="G42" s="228" t="s">
        <v>20</v>
      </c>
      <c r="H42" s="499">
        <f>F42/1000</f>
        <v>6.5000000000000002E-2</v>
      </c>
      <c r="I42" s="423">
        <f t="shared" si="6"/>
        <v>1.3611935922333156E-2</v>
      </c>
      <c r="J42" s="871">
        <f t="shared" si="7"/>
        <v>1.3611935922333156E-4</v>
      </c>
      <c r="K42" s="422">
        <v>1.36119E-2</v>
      </c>
      <c r="L42" s="872">
        <v>1.36119E-4</v>
      </c>
      <c r="M42" s="752">
        <f t="shared" si="8"/>
        <v>2.639031902710661E-6</v>
      </c>
      <c r="N42" s="873">
        <f t="shared" si="9"/>
        <v>2.6390319026230452E-6</v>
      </c>
    </row>
    <row r="43" spans="3:14" ht="15.75" thickTop="1" x14ac:dyDescent="0.25">
      <c r="C43" s="1639">
        <v>84</v>
      </c>
      <c r="D43" s="127" t="s">
        <v>113</v>
      </c>
      <c r="E43" s="1642">
        <f>C43</f>
        <v>84</v>
      </c>
      <c r="F43" s="1639">
        <v>78</v>
      </c>
      <c r="G43" s="127" t="s">
        <v>21</v>
      </c>
      <c r="H43" s="142">
        <f>F43</f>
        <v>78</v>
      </c>
      <c r="I43" s="132">
        <f t="shared" si="6"/>
        <v>886.72039722627392</v>
      </c>
      <c r="J43" s="1775">
        <f t="shared" si="7"/>
        <v>8.8672039722627396</v>
      </c>
      <c r="K43" s="1679">
        <v>886.72</v>
      </c>
      <c r="L43" s="1776">
        <v>8.8672000000000004</v>
      </c>
      <c r="M43" s="1723">
        <f t="shared" si="8"/>
        <v>4.4797241061825212E-7</v>
      </c>
      <c r="N43" s="1777">
        <f t="shared" si="9"/>
        <v>4.4797241065030474E-7</v>
      </c>
    </row>
    <row r="44" spans="3:14" ht="15.75" thickBot="1" x14ac:dyDescent="0.3">
      <c r="C44" s="1705">
        <v>633</v>
      </c>
      <c r="D44" s="126" t="s">
        <v>114</v>
      </c>
      <c r="E44" s="129">
        <f>C44*60</f>
        <v>37980</v>
      </c>
      <c r="F44" s="1768">
        <v>159</v>
      </c>
      <c r="G44" s="126" t="s">
        <v>21</v>
      </c>
      <c r="H44" s="497">
        <f>F44</f>
        <v>159</v>
      </c>
      <c r="I44" s="133">
        <f t="shared" si="6"/>
        <v>3.9977307980428685</v>
      </c>
      <c r="J44" s="1779">
        <f t="shared" si="7"/>
        <v>3.9977307980428686E-2</v>
      </c>
      <c r="K44" s="1705">
        <v>3.9977299999999998</v>
      </c>
      <c r="L44" s="1780">
        <v>3.99773E-2</v>
      </c>
      <c r="M44" s="1730">
        <f t="shared" si="8"/>
        <v>1.9962396394169898E-7</v>
      </c>
      <c r="N44" s="1781">
        <f t="shared" si="9"/>
        <v>1.9962396392087046E-7</v>
      </c>
    </row>
    <row r="45" spans="3:14" ht="15.75" thickTop="1" x14ac:dyDescent="0.25"/>
  </sheetData>
  <mergeCells count="31">
    <mergeCell ref="C33:E33"/>
    <mergeCell ref="F33:H33"/>
    <mergeCell ref="I32:J32"/>
    <mergeCell ref="K32:L32"/>
    <mergeCell ref="M32:N32"/>
    <mergeCell ref="I33:J33"/>
    <mergeCell ref="K33:L33"/>
    <mergeCell ref="M33:N33"/>
    <mergeCell ref="M17:N17"/>
    <mergeCell ref="I18:J18"/>
    <mergeCell ref="K18:L18"/>
    <mergeCell ref="M18:N18"/>
    <mergeCell ref="C32:H32"/>
    <mergeCell ref="C17:H17"/>
    <mergeCell ref="C18:E18"/>
    <mergeCell ref="F18:H18"/>
    <mergeCell ref="I17:J17"/>
    <mergeCell ref="K17:L17"/>
    <mergeCell ref="N8:R8"/>
    <mergeCell ref="S8:W8"/>
    <mergeCell ref="I9:M9"/>
    <mergeCell ref="N9:R9"/>
    <mergeCell ref="S9:W9"/>
    <mergeCell ref="C2:J2"/>
    <mergeCell ref="C4:E4"/>
    <mergeCell ref="H4:I4"/>
    <mergeCell ref="C8:H8"/>
    <mergeCell ref="C9:E9"/>
    <mergeCell ref="F9:H9"/>
    <mergeCell ref="I8:M8"/>
    <mergeCell ref="E6:G6"/>
  </mergeCells>
  <conditionalFormatting sqref="S11:W14 M20:N29 M35:N44">
    <cfRule type="cellIs" dxfId="0" priority="1" operator="notBetween">
      <formula>-0.001</formula>
      <formula>0.001</formula>
    </cfRule>
  </conditionalFormatting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W77"/>
  <sheetViews>
    <sheetView zoomScaleNormal="100" workbookViewId="0">
      <selection activeCell="B2" sqref="B2"/>
    </sheetView>
  </sheetViews>
  <sheetFormatPr defaultColWidth="18.7109375" defaultRowHeight="15" x14ac:dyDescent="0.25"/>
  <cols>
    <col min="1" max="2" width="5.7109375" style="5" customWidth="1"/>
    <col min="3" max="3" width="12.7109375" style="5" customWidth="1"/>
    <col min="4" max="4" width="10.7109375" style="5" customWidth="1"/>
    <col min="5" max="5" width="18.7109375" style="5"/>
    <col min="6" max="6" width="12.7109375" style="5" customWidth="1"/>
    <col min="7" max="7" width="10.7109375" style="5" customWidth="1"/>
    <col min="8" max="8" width="18.7109375" style="5"/>
    <col min="9" max="10" width="18.7109375" style="5" customWidth="1"/>
    <col min="11" max="13" width="18.7109375" style="5"/>
    <col min="14" max="14" width="18.7109375" style="5" customWidth="1"/>
    <col min="15" max="16384" width="18.7109375" style="5"/>
  </cols>
  <sheetData>
    <row r="2" spans="3:20" ht="21" x14ac:dyDescent="0.35">
      <c r="C2" s="2490" t="s">
        <v>26</v>
      </c>
      <c r="D2" s="2491"/>
      <c r="E2" s="2491"/>
      <c r="F2" s="2491"/>
      <c r="G2" s="2491"/>
      <c r="H2" s="2491"/>
      <c r="I2" s="2491"/>
      <c r="J2" s="2491"/>
    </row>
    <row r="4" spans="3:20" x14ac:dyDescent="0.25">
      <c r="C4" s="2501" t="s">
        <v>22</v>
      </c>
      <c r="D4" s="2502"/>
      <c r="E4" s="2503"/>
      <c r="F4" s="20"/>
      <c r="G4" s="20"/>
      <c r="H4" s="2501" t="s">
        <v>23</v>
      </c>
      <c r="I4" s="2503"/>
    </row>
    <row r="5" spans="3:20" ht="15.75" thickBot="1" x14ac:dyDescent="0.3">
      <c r="M5" s="20"/>
    </row>
    <row r="6" spans="3:20" s="9" customFormat="1" ht="19.5" thickBot="1" x14ac:dyDescent="0.35">
      <c r="E6" s="2497" t="s">
        <v>122</v>
      </c>
      <c r="F6" s="2498"/>
      <c r="G6" s="2499"/>
    </row>
    <row r="7" spans="3:20" ht="15.75" thickBot="1" x14ac:dyDescent="0.3"/>
    <row r="8" spans="3:20" ht="15.75" thickTop="1" x14ac:dyDescent="0.25">
      <c r="C8" s="2488" t="s">
        <v>0</v>
      </c>
      <c r="D8" s="2489"/>
      <c r="E8" s="2489"/>
      <c r="F8" s="2489"/>
      <c r="G8" s="2489"/>
      <c r="H8" s="2495"/>
      <c r="I8" s="2483" t="s">
        <v>158</v>
      </c>
      <c r="J8" s="2484"/>
      <c r="K8" s="2484"/>
      <c r="L8" s="2485"/>
      <c r="M8" s="2489" t="s">
        <v>17</v>
      </c>
      <c r="N8" s="2489"/>
      <c r="O8" s="2489"/>
      <c r="P8" s="2495"/>
      <c r="Q8" s="2483" t="s">
        <v>8</v>
      </c>
      <c r="R8" s="2484"/>
      <c r="S8" s="2484"/>
      <c r="T8" s="2485"/>
    </row>
    <row r="9" spans="3:20" ht="15.75" thickBot="1" x14ac:dyDescent="0.3">
      <c r="C9" s="2486" t="s">
        <v>28</v>
      </c>
      <c r="D9" s="2487"/>
      <c r="E9" s="2487"/>
      <c r="F9" s="2500" t="s">
        <v>29</v>
      </c>
      <c r="G9" s="2487"/>
      <c r="H9" s="2496"/>
      <c r="I9" s="2480" t="s">
        <v>27</v>
      </c>
      <c r="J9" s="2481"/>
      <c r="K9" s="2481"/>
      <c r="L9" s="2482"/>
      <c r="M9" s="2486" t="s">
        <v>27</v>
      </c>
      <c r="N9" s="2487"/>
      <c r="O9" s="2487"/>
      <c r="P9" s="2496"/>
      <c r="Q9" s="2480" t="s">
        <v>27</v>
      </c>
      <c r="R9" s="2481"/>
      <c r="S9" s="2481"/>
      <c r="T9" s="2482"/>
    </row>
    <row r="10" spans="3:20" ht="15.75" thickBot="1" x14ac:dyDescent="0.3">
      <c r="C10" s="14" t="s">
        <v>3</v>
      </c>
      <c r="D10" s="66" t="s">
        <v>4</v>
      </c>
      <c r="E10" s="50" t="s">
        <v>30</v>
      </c>
      <c r="F10" s="51" t="s">
        <v>3</v>
      </c>
      <c r="G10" s="66" t="s">
        <v>4</v>
      </c>
      <c r="H10" s="52" t="s">
        <v>31</v>
      </c>
      <c r="I10" s="13" t="s">
        <v>25</v>
      </c>
      <c r="J10" s="87" t="s">
        <v>10</v>
      </c>
      <c r="K10" s="87" t="s">
        <v>11</v>
      </c>
      <c r="L10" s="54" t="s">
        <v>12</v>
      </c>
      <c r="M10" s="50" t="s">
        <v>25</v>
      </c>
      <c r="N10" s="83" t="s">
        <v>10</v>
      </c>
      <c r="O10" s="83" t="s">
        <v>11</v>
      </c>
      <c r="P10" s="52" t="s">
        <v>12</v>
      </c>
      <c r="Q10" s="13" t="s">
        <v>25</v>
      </c>
      <c r="R10" s="87" t="s">
        <v>10</v>
      </c>
      <c r="S10" s="87" t="s">
        <v>11</v>
      </c>
      <c r="T10" s="54" t="s">
        <v>12</v>
      </c>
    </row>
    <row r="11" spans="3:20" ht="15.75" thickTop="1" x14ac:dyDescent="0.25">
      <c r="C11" s="876">
        <v>100</v>
      </c>
      <c r="D11" s="877" t="s">
        <v>32</v>
      </c>
      <c r="E11" s="875">
        <f>C11/1000</f>
        <v>0.1</v>
      </c>
      <c r="F11" s="983">
        <v>15</v>
      </c>
      <c r="G11" s="877" t="s">
        <v>36</v>
      </c>
      <c r="H11" s="878">
        <f>F11*1000/3600</f>
        <v>4.166666666666667</v>
      </c>
      <c r="I11" s="916">
        <f>J11/1000</f>
        <v>8.6805555555555583E-4</v>
      </c>
      <c r="J11" s="917">
        <f t="shared" ref="J11:J30" si="0">0.5*E11*H11^2</f>
        <v>0.8680555555555558</v>
      </c>
      <c r="K11" s="917">
        <f>I11/4.187</f>
        <v>2.0732160390627078E-4</v>
      </c>
      <c r="L11" s="918">
        <f>I11/3600</f>
        <v>2.411265432098766E-7</v>
      </c>
      <c r="M11" s="916">
        <v>8.6805599999999997E-4</v>
      </c>
      <c r="N11" s="917">
        <v>0.86805600000000005</v>
      </c>
      <c r="O11" s="917">
        <v>2.0732199999999999E-4</v>
      </c>
      <c r="P11" s="918">
        <v>2.4112654320987703E-7</v>
      </c>
      <c r="Q11" s="885">
        <f xml:space="preserve"> (I11-M11)/I11</f>
        <v>-5.1199999964723887E-7</v>
      </c>
      <c r="R11" s="886">
        <f xml:space="preserve"> (J11-N11)/J11</f>
        <v>-5.1199999977313824E-7</v>
      </c>
      <c r="S11" s="886">
        <f xml:space="preserve"> (K11-O11)/K11</f>
        <v>-1.9105279997372043E-6</v>
      </c>
      <c r="T11" s="887">
        <f xml:space="preserve"> (L11-P11)/L11</f>
        <v>-1.7564075194265168E-15</v>
      </c>
    </row>
    <row r="12" spans="3:20" x14ac:dyDescent="0.25">
      <c r="C12" s="71">
        <v>2500</v>
      </c>
      <c r="D12" s="59" t="s">
        <v>30</v>
      </c>
      <c r="E12" s="32">
        <f>C12</f>
        <v>2500</v>
      </c>
      <c r="F12" s="972">
        <v>250</v>
      </c>
      <c r="G12" s="59" t="s">
        <v>36</v>
      </c>
      <c r="H12" s="889">
        <f>F12*1000/3600</f>
        <v>69.444444444444443</v>
      </c>
      <c r="I12" s="888">
        <f t="shared" ref="I12:I30" si="1">J12/1000</f>
        <v>6028.1635802469136</v>
      </c>
      <c r="J12" s="903">
        <f t="shared" si="0"/>
        <v>6028163.5802469132</v>
      </c>
      <c r="K12" s="903">
        <f t="shared" ref="K12:K25" si="2">I12/4.187</f>
        <v>1439.7333604602134</v>
      </c>
      <c r="L12" s="923">
        <f t="shared" ref="L12:L25" si="3">I12/3600</f>
        <v>1.6744898834019204</v>
      </c>
      <c r="M12" s="927">
        <v>6028.16</v>
      </c>
      <c r="N12" s="903">
        <v>6028164</v>
      </c>
      <c r="O12" s="903">
        <v>1439.73</v>
      </c>
      <c r="P12" s="923">
        <v>1.67449</v>
      </c>
      <c r="Q12" s="897">
        <f t="shared" ref="Q12:Q30" si="4" xml:space="preserve"> (I12-M12)/I12</f>
        <v>5.9392000003159048E-7</v>
      </c>
      <c r="R12" s="898">
        <f t="shared" ref="R12:R30" si="5" xml:space="preserve"> (J12-N12)/J12</f>
        <v>-6.9632000055313115E-8</v>
      </c>
      <c r="S12" s="898">
        <f t="shared" ref="S12:S30" si="6" xml:space="preserve"> (K12-O12)/K12</f>
        <v>2.3340851199485356E-6</v>
      </c>
      <c r="T12" s="899">
        <f t="shared" ref="T12:T30" si="7" xml:space="preserve"> (L12-P12)/L12</f>
        <v>-6.9632000044657613E-8</v>
      </c>
    </row>
    <row r="13" spans="3:20" x14ac:dyDescent="0.25">
      <c r="C13" s="71">
        <v>450</v>
      </c>
      <c r="D13" s="59" t="s">
        <v>33</v>
      </c>
      <c r="E13" s="32">
        <f>C13*0.45359237</f>
        <v>204.1165665</v>
      </c>
      <c r="F13" s="972">
        <v>403</v>
      </c>
      <c r="G13" s="59" t="s">
        <v>36</v>
      </c>
      <c r="H13" s="889">
        <f>F13*1000/3600</f>
        <v>111.94444444444444</v>
      </c>
      <c r="I13" s="888">
        <f t="shared" si="1"/>
        <v>1278.9493614467015</v>
      </c>
      <c r="J13" s="903">
        <f t="shared" si="0"/>
        <v>1278949.3614467015</v>
      </c>
      <c r="K13" s="903">
        <f t="shared" si="2"/>
        <v>305.45721553539562</v>
      </c>
      <c r="L13" s="923">
        <f t="shared" si="3"/>
        <v>0.35526371151297265</v>
      </c>
      <c r="M13" s="927">
        <v>1278.95</v>
      </c>
      <c r="N13" s="903">
        <v>1278949</v>
      </c>
      <c r="O13" s="951">
        <v>305.45699999999999</v>
      </c>
      <c r="P13" s="923">
        <v>0.35526400000000002</v>
      </c>
      <c r="Q13" s="897">
        <f t="shared" si="4"/>
        <v>-4.992795788753254E-7</v>
      </c>
      <c r="R13" s="898">
        <f t="shared" si="5"/>
        <v>2.8261220682498783E-7</v>
      </c>
      <c r="S13" s="898">
        <f t="shared" si="6"/>
        <v>7.0561566289302485E-7</v>
      </c>
      <c r="T13" s="899">
        <f t="shared" si="7"/>
        <v>-8.1203629312219219E-7</v>
      </c>
    </row>
    <row r="14" spans="3:20" x14ac:dyDescent="0.25">
      <c r="C14" s="71">
        <v>4896</v>
      </c>
      <c r="D14" s="59" t="s">
        <v>34</v>
      </c>
      <c r="E14" s="32">
        <f>C14*1000</f>
        <v>4896000</v>
      </c>
      <c r="F14" s="972">
        <v>60</v>
      </c>
      <c r="G14" s="59" t="s">
        <v>36</v>
      </c>
      <c r="H14" s="889">
        <f>F14*1000/3600</f>
        <v>16.666666666666668</v>
      </c>
      <c r="I14" s="888">
        <f t="shared" si="1"/>
        <v>680000.00000000012</v>
      </c>
      <c r="J14" s="942">
        <f t="shared" si="0"/>
        <v>680000000.00000012</v>
      </c>
      <c r="K14" s="903">
        <f t="shared" si="2"/>
        <v>162407.45163601625</v>
      </c>
      <c r="L14" s="984">
        <f t="shared" si="3"/>
        <v>188.88888888888891</v>
      </c>
      <c r="M14" s="888">
        <v>680000</v>
      </c>
      <c r="N14" s="942">
        <v>680000000</v>
      </c>
      <c r="O14" s="903">
        <v>162407</v>
      </c>
      <c r="P14" s="985">
        <v>188.88900000000001</v>
      </c>
      <c r="Q14" s="897">
        <f t="shared" si="4"/>
        <v>1.7119900268666881E-16</v>
      </c>
      <c r="R14" s="898">
        <f t="shared" si="5"/>
        <v>1.7530777875114887E-16</v>
      </c>
      <c r="S14" s="898">
        <f t="shared" si="6"/>
        <v>2.7808823530132512E-6</v>
      </c>
      <c r="T14" s="899">
        <f t="shared" si="7"/>
        <v>-5.882352940368624E-7</v>
      </c>
    </row>
    <row r="15" spans="3:20" ht="15.75" thickBot="1" x14ac:dyDescent="0.3">
      <c r="C15" s="952">
        <v>58097</v>
      </c>
      <c r="D15" s="953" t="s">
        <v>35</v>
      </c>
      <c r="E15" s="975">
        <f>C15*31.1034768/1000</f>
        <v>1807.0186916496</v>
      </c>
      <c r="F15" s="986">
        <v>0.6</v>
      </c>
      <c r="G15" s="953" t="s">
        <v>36</v>
      </c>
      <c r="H15" s="954">
        <f>F15*1000/3600</f>
        <v>0.16666666666666666</v>
      </c>
      <c r="I15" s="987">
        <f t="shared" si="1"/>
        <v>2.5097481828466665E-2</v>
      </c>
      <c r="J15" s="988">
        <f t="shared" si="0"/>
        <v>25.097481828466666</v>
      </c>
      <c r="K15" s="988">
        <f t="shared" si="2"/>
        <v>5.9941442150624946E-3</v>
      </c>
      <c r="L15" s="989">
        <f t="shared" si="3"/>
        <v>6.9715227301296292E-6</v>
      </c>
      <c r="M15" s="987">
        <v>2.5097499999999998E-2</v>
      </c>
      <c r="N15" s="988">
        <v>25.0975</v>
      </c>
      <c r="O15" s="988">
        <v>5.9941400000000002E-3</v>
      </c>
      <c r="P15" s="990">
        <v>6.9715227301296301E-6</v>
      </c>
      <c r="Q15" s="960">
        <f t="shared" si="4"/>
        <v>-7.2403811098688861E-7</v>
      </c>
      <c r="R15" s="961">
        <f t="shared" si="5"/>
        <v>-7.2403811100458313E-7</v>
      </c>
      <c r="S15" s="961">
        <f t="shared" si="6"/>
        <v>7.0319671050955567E-7</v>
      </c>
      <c r="T15" s="962">
        <f t="shared" si="7"/>
        <v>-1.2149898666952356E-16</v>
      </c>
    </row>
    <row r="16" spans="3:20" ht="15.75" thickTop="1" x14ac:dyDescent="0.25">
      <c r="C16" s="1332">
        <v>202</v>
      </c>
      <c r="D16" s="1333" t="s">
        <v>32</v>
      </c>
      <c r="E16" s="1334">
        <f>C16/1000</f>
        <v>0.20200000000000001</v>
      </c>
      <c r="F16" s="1335">
        <v>1845</v>
      </c>
      <c r="G16" s="1333" t="s">
        <v>37</v>
      </c>
      <c r="H16" s="1334">
        <f>F16/60</f>
        <v>30.75</v>
      </c>
      <c r="I16" s="1336">
        <f t="shared" si="1"/>
        <v>9.5501812500000005E-2</v>
      </c>
      <c r="J16" s="1337">
        <f t="shared" si="0"/>
        <v>95.5018125</v>
      </c>
      <c r="K16" s="1337">
        <f t="shared" si="2"/>
        <v>2.2809126462861238E-2</v>
      </c>
      <c r="L16" s="1338">
        <f t="shared" si="3"/>
        <v>2.6528281250000002E-5</v>
      </c>
      <c r="M16" s="1339">
        <v>9.5501799999999998E-2</v>
      </c>
      <c r="N16" s="1340">
        <v>95.501800000000003</v>
      </c>
      <c r="O16" s="1337">
        <v>2.2809099999999999E-2</v>
      </c>
      <c r="P16" s="1339">
        <v>2.6528281249999998E-5</v>
      </c>
      <c r="Q16" s="1341">
        <f t="shared" si="4"/>
        <v>1.3088756830974636E-7</v>
      </c>
      <c r="R16" s="1342">
        <f t="shared" si="5"/>
        <v>1.3088756820046996E-7</v>
      </c>
      <c r="S16" s="1342">
        <f t="shared" si="6"/>
        <v>1.1601874049056899E-6</v>
      </c>
      <c r="T16" s="1343">
        <f t="shared" si="7"/>
        <v>1.277177272469245E-16</v>
      </c>
    </row>
    <row r="17" spans="3:20" x14ac:dyDescent="0.25">
      <c r="C17" s="1268">
        <v>68</v>
      </c>
      <c r="D17" s="1269" t="s">
        <v>30</v>
      </c>
      <c r="E17" s="1254">
        <f>C17</f>
        <v>68</v>
      </c>
      <c r="F17" s="1344">
        <v>654</v>
      </c>
      <c r="G17" s="1269" t="s">
        <v>37</v>
      </c>
      <c r="H17" s="1270">
        <f>F17/60</f>
        <v>10.9</v>
      </c>
      <c r="I17" s="1306">
        <f t="shared" si="1"/>
        <v>4.0395399999999997</v>
      </c>
      <c r="J17" s="1345">
        <f t="shared" si="0"/>
        <v>4039.54</v>
      </c>
      <c r="K17" s="1307">
        <f t="shared" si="2"/>
        <v>0.96478146644375429</v>
      </c>
      <c r="L17" s="1308">
        <f t="shared" si="3"/>
        <v>1.1220944444444443E-3</v>
      </c>
      <c r="M17" s="1346">
        <v>4.0395399999999997</v>
      </c>
      <c r="N17" s="1345">
        <v>4039.54</v>
      </c>
      <c r="O17" s="1307">
        <v>0.964781</v>
      </c>
      <c r="P17" s="1346">
        <v>1.1220900000000001E-3</v>
      </c>
      <c r="Q17" s="1277">
        <f t="shared" si="4"/>
        <v>0</v>
      </c>
      <c r="R17" s="1278">
        <f t="shared" si="5"/>
        <v>0</v>
      </c>
      <c r="S17" s="1278">
        <f t="shared" si="6"/>
        <v>4.834708900526238E-7</v>
      </c>
      <c r="T17" s="1279">
        <f t="shared" si="7"/>
        <v>3.9608470269199849E-6</v>
      </c>
    </row>
    <row r="18" spans="3:20" x14ac:dyDescent="0.25">
      <c r="C18" s="1268">
        <v>63</v>
      </c>
      <c r="D18" s="1269" t="s">
        <v>33</v>
      </c>
      <c r="E18" s="1254">
        <f>C18*0.45359237</f>
        <v>28.576319310000002</v>
      </c>
      <c r="F18" s="1344">
        <v>60</v>
      </c>
      <c r="G18" s="1269" t="s">
        <v>37</v>
      </c>
      <c r="H18" s="1254">
        <f>F18/60</f>
        <v>1</v>
      </c>
      <c r="I18" s="1306">
        <f t="shared" si="1"/>
        <v>1.4288159655E-2</v>
      </c>
      <c r="J18" s="1307">
        <f t="shared" si="0"/>
        <v>14.288159655000001</v>
      </c>
      <c r="K18" s="1307">
        <f t="shared" si="2"/>
        <v>3.412505291378075E-3</v>
      </c>
      <c r="L18" s="1308">
        <f t="shared" si="3"/>
        <v>3.9689332374999997E-6</v>
      </c>
      <c r="M18" s="1346">
        <v>1.4288199999999999E-2</v>
      </c>
      <c r="N18" s="1345">
        <v>14.2882</v>
      </c>
      <c r="O18" s="1307">
        <v>3.4125100000000001E-3</v>
      </c>
      <c r="P18" s="1346">
        <v>3.9689332374999997E-6</v>
      </c>
      <c r="Q18" s="1277">
        <f t="shared" si="4"/>
        <v>-2.8236666563772083E-6</v>
      </c>
      <c r="R18" s="1278">
        <f t="shared" si="5"/>
        <v>-2.8236666563626389E-6</v>
      </c>
      <c r="S18" s="1278">
        <f t="shared" si="6"/>
        <v>-1.3798138092231067E-6</v>
      </c>
      <c r="T18" s="1279">
        <f t="shared" si="7"/>
        <v>0</v>
      </c>
    </row>
    <row r="19" spans="3:20" x14ac:dyDescent="0.25">
      <c r="C19" s="1268">
        <v>250</v>
      </c>
      <c r="D19" s="1269" t="s">
        <v>34</v>
      </c>
      <c r="E19" s="1254">
        <f>C19*1000</f>
        <v>250000</v>
      </c>
      <c r="F19" s="1344">
        <v>15</v>
      </c>
      <c r="G19" s="1269" t="s">
        <v>37</v>
      </c>
      <c r="H19" s="1270">
        <f>F19/60</f>
        <v>0.25</v>
      </c>
      <c r="I19" s="1306">
        <f t="shared" si="1"/>
        <v>7.8125</v>
      </c>
      <c r="J19" s="1307">
        <f t="shared" si="0"/>
        <v>7812.5</v>
      </c>
      <c r="K19" s="1307">
        <f t="shared" si="2"/>
        <v>1.8658944351564364</v>
      </c>
      <c r="L19" s="1308">
        <f t="shared" si="3"/>
        <v>2.170138888888889E-3</v>
      </c>
      <c r="M19" s="1346">
        <v>7.8125</v>
      </c>
      <c r="N19" s="1345">
        <v>7812.5</v>
      </c>
      <c r="O19" s="1307">
        <v>1.86589</v>
      </c>
      <c r="P19" s="1346">
        <v>2.1701400000000001E-3</v>
      </c>
      <c r="Q19" s="1277">
        <f t="shared" si="4"/>
        <v>0</v>
      </c>
      <c r="R19" s="1278">
        <f t="shared" si="5"/>
        <v>0</v>
      </c>
      <c r="S19" s="1278">
        <f t="shared" si="6"/>
        <v>2.3769599998626634E-6</v>
      </c>
      <c r="T19" s="1279">
        <f t="shared" si="7"/>
        <v>-5.1199999999695929E-7</v>
      </c>
    </row>
    <row r="20" spans="3:20" ht="15.75" thickBot="1" x14ac:dyDescent="0.3">
      <c r="C20" s="1347">
        <v>115</v>
      </c>
      <c r="D20" s="1348" t="s">
        <v>35</v>
      </c>
      <c r="E20" s="1349">
        <f>C20*31.1034768/1000</f>
        <v>3.5768998320000001</v>
      </c>
      <c r="F20" s="1350">
        <v>198</v>
      </c>
      <c r="G20" s="1348" t="s">
        <v>37</v>
      </c>
      <c r="H20" s="1351">
        <f>F20/60</f>
        <v>3.3</v>
      </c>
      <c r="I20" s="1352">
        <f t="shared" si="1"/>
        <v>1.9476219585239998E-2</v>
      </c>
      <c r="J20" s="1353">
        <f t="shared" si="0"/>
        <v>19.476219585239999</v>
      </c>
      <c r="K20" s="1353">
        <f t="shared" si="2"/>
        <v>4.6515929269739667E-3</v>
      </c>
      <c r="L20" s="1354">
        <f t="shared" si="3"/>
        <v>5.4100609958999998E-6</v>
      </c>
      <c r="M20" s="1355">
        <v>1.9476199999999999E-2</v>
      </c>
      <c r="N20" s="1353">
        <v>19.476199999999999</v>
      </c>
      <c r="O20" s="1353">
        <v>4.6515899999999997E-3</v>
      </c>
      <c r="P20" s="1355">
        <v>5.4100609958999998E-6</v>
      </c>
      <c r="Q20" s="1319">
        <f t="shared" si="4"/>
        <v>1.0055976168020803E-6</v>
      </c>
      <c r="R20" s="1320">
        <f t="shared" si="5"/>
        <v>1.0055976168647846E-6</v>
      </c>
      <c r="S20" s="1320">
        <f t="shared" si="6"/>
        <v>6.2924121112260986E-7</v>
      </c>
      <c r="T20" s="1321">
        <f t="shared" si="7"/>
        <v>0</v>
      </c>
    </row>
    <row r="21" spans="3:20" ht="15.75" thickTop="1" x14ac:dyDescent="0.25">
      <c r="C21" s="92">
        <v>864</v>
      </c>
      <c r="D21" s="61" t="s">
        <v>32</v>
      </c>
      <c r="E21" s="45">
        <f>C21/1000</f>
        <v>0.86399999999999999</v>
      </c>
      <c r="F21" s="107">
        <v>159</v>
      </c>
      <c r="G21" s="61" t="s">
        <v>31</v>
      </c>
      <c r="H21" s="45">
        <f>F21</f>
        <v>159</v>
      </c>
      <c r="I21" s="91">
        <f t="shared" si="1"/>
        <v>10.921391999999999</v>
      </c>
      <c r="J21" s="502">
        <f t="shared" si="0"/>
        <v>10921.392</v>
      </c>
      <c r="K21" s="503">
        <f t="shared" si="2"/>
        <v>2.6084050632911389</v>
      </c>
      <c r="L21" s="275">
        <f t="shared" si="3"/>
        <v>3.0337199999999997E-3</v>
      </c>
      <c r="M21" s="276">
        <v>10.9214</v>
      </c>
      <c r="N21" s="502">
        <v>10921.4</v>
      </c>
      <c r="O21" s="503">
        <v>2.6084100000000001</v>
      </c>
      <c r="P21" s="97">
        <v>3.0337200000000002E-3</v>
      </c>
      <c r="Q21" s="283">
        <f t="shared" si="4"/>
        <v>-7.3250735813879989E-7</v>
      </c>
      <c r="R21" s="315">
        <f t="shared" si="5"/>
        <v>-7.3250735801908999E-7</v>
      </c>
      <c r="S21" s="315">
        <f t="shared" si="6"/>
        <v>-1.8926158865178509E-6</v>
      </c>
      <c r="T21" s="343">
        <f t="shared" si="7"/>
        <v>-1.4295349241004503E-16</v>
      </c>
    </row>
    <row r="22" spans="3:20" x14ac:dyDescent="0.25">
      <c r="C22" s="72">
        <v>103</v>
      </c>
      <c r="D22" s="62" t="s">
        <v>30</v>
      </c>
      <c r="E22" s="34">
        <f>C22</f>
        <v>103</v>
      </c>
      <c r="F22" s="108">
        <v>3</v>
      </c>
      <c r="G22" s="62" t="s">
        <v>31</v>
      </c>
      <c r="H22" s="34">
        <f>F22</f>
        <v>3</v>
      </c>
      <c r="I22" s="103">
        <f t="shared" si="1"/>
        <v>0.46350000000000002</v>
      </c>
      <c r="J22" s="174">
        <f t="shared" si="0"/>
        <v>463.5</v>
      </c>
      <c r="K22" s="468">
        <f t="shared" si="2"/>
        <v>0.11069978504896107</v>
      </c>
      <c r="L22" s="99">
        <f t="shared" si="3"/>
        <v>1.2875000000000001E-4</v>
      </c>
      <c r="M22" s="277">
        <v>0.46350000000000002</v>
      </c>
      <c r="N22" s="174">
        <v>463.5</v>
      </c>
      <c r="O22" s="468">
        <v>0.11070000000000001</v>
      </c>
      <c r="P22" s="98">
        <v>1.2875000000000001E-4</v>
      </c>
      <c r="Q22" s="155">
        <f t="shared" si="4"/>
        <v>0</v>
      </c>
      <c r="R22" s="156">
        <f t="shared" si="5"/>
        <v>0</v>
      </c>
      <c r="S22" s="156">
        <f t="shared" si="6"/>
        <v>-1.9417475729095154E-6</v>
      </c>
      <c r="T22" s="157">
        <f t="shared" si="7"/>
        <v>0</v>
      </c>
    </row>
    <row r="23" spans="3:20" x14ac:dyDescent="0.25">
      <c r="C23" s="72">
        <v>631</v>
      </c>
      <c r="D23" s="62" t="s">
        <v>33</v>
      </c>
      <c r="E23" s="34">
        <f>C23*0.45359237</f>
        <v>286.21678546999999</v>
      </c>
      <c r="F23" s="108">
        <v>753</v>
      </c>
      <c r="G23" s="62" t="s">
        <v>31</v>
      </c>
      <c r="H23" s="34">
        <f>F23</f>
        <v>753</v>
      </c>
      <c r="I23" s="33">
        <f t="shared" si="1"/>
        <v>81143.746656279603</v>
      </c>
      <c r="J23" s="154">
        <f t="shared" si="0"/>
        <v>81143746.656279609</v>
      </c>
      <c r="K23" s="154">
        <f t="shared" si="2"/>
        <v>19379.925162713065</v>
      </c>
      <c r="L23" s="278">
        <f t="shared" si="3"/>
        <v>22.539929626744335</v>
      </c>
      <c r="M23" s="36">
        <v>81143.7</v>
      </c>
      <c r="N23" s="154">
        <v>81143747</v>
      </c>
      <c r="O23" s="154">
        <v>19379.900000000001</v>
      </c>
      <c r="P23" s="96">
        <v>22.539899999999999</v>
      </c>
      <c r="Q23" s="155">
        <f t="shared" si="4"/>
        <v>5.7498305820199317E-7</v>
      </c>
      <c r="R23" s="156">
        <f t="shared" si="5"/>
        <v>-4.235944303246044E-9</v>
      </c>
      <c r="S23" s="156">
        <f t="shared" si="6"/>
        <v>1.2983906208356982E-6</v>
      </c>
      <c r="T23" s="157">
        <f t="shared" si="7"/>
        <v>1.3144115721146263E-6</v>
      </c>
    </row>
    <row r="24" spans="3:20" x14ac:dyDescent="0.25">
      <c r="C24" s="72">
        <v>450</v>
      </c>
      <c r="D24" s="62" t="s">
        <v>34</v>
      </c>
      <c r="E24" s="34">
        <f>C24*1000</f>
        <v>450000</v>
      </c>
      <c r="F24" s="108">
        <v>1667</v>
      </c>
      <c r="G24" s="62" t="s">
        <v>31</v>
      </c>
      <c r="H24" s="34">
        <f>F24</f>
        <v>1667</v>
      </c>
      <c r="I24" s="33">
        <f t="shared" si="1"/>
        <v>625250025</v>
      </c>
      <c r="J24" s="154">
        <f t="shared" si="0"/>
        <v>625250025000</v>
      </c>
      <c r="K24" s="154">
        <f t="shared" si="2"/>
        <v>149331269.40530211</v>
      </c>
      <c r="L24" s="37">
        <f t="shared" si="3"/>
        <v>173680.5625</v>
      </c>
      <c r="M24" s="36">
        <v>625250025</v>
      </c>
      <c r="N24" s="154">
        <v>625250025000</v>
      </c>
      <c r="O24" s="154">
        <v>149331269</v>
      </c>
      <c r="P24" s="36">
        <v>173681</v>
      </c>
      <c r="Q24" s="155">
        <f t="shared" si="4"/>
        <v>0</v>
      </c>
      <c r="R24" s="156">
        <f t="shared" si="5"/>
        <v>0</v>
      </c>
      <c r="S24" s="156">
        <f t="shared" si="6"/>
        <v>2.7141141232389903E-9</v>
      </c>
      <c r="T24" s="157">
        <f t="shared" si="7"/>
        <v>-2.5189923023193803E-6</v>
      </c>
    </row>
    <row r="25" spans="3:20" ht="15.75" thickBot="1" x14ac:dyDescent="0.3">
      <c r="C25" s="106">
        <v>0.7</v>
      </c>
      <c r="D25" s="63" t="s">
        <v>35</v>
      </c>
      <c r="E25" s="43">
        <f>C25*31.1034768/1000</f>
        <v>2.1772433759999998E-2</v>
      </c>
      <c r="F25" s="109">
        <v>49</v>
      </c>
      <c r="G25" s="63" t="s">
        <v>31</v>
      </c>
      <c r="H25" s="39">
        <f>F25</f>
        <v>49</v>
      </c>
      <c r="I25" s="279">
        <f t="shared" si="1"/>
        <v>2.6137806728879998E-2</v>
      </c>
      <c r="J25" s="476">
        <f t="shared" si="0"/>
        <v>26.137806728879998</v>
      </c>
      <c r="K25" s="476">
        <f t="shared" si="2"/>
        <v>6.242609679694291E-3</v>
      </c>
      <c r="L25" s="101">
        <f t="shared" si="3"/>
        <v>7.2605018691333324E-6</v>
      </c>
      <c r="M25" s="102">
        <v>2.6137799999999999E-2</v>
      </c>
      <c r="N25" s="476">
        <v>26.137799999999999</v>
      </c>
      <c r="O25" s="476">
        <v>6.24261E-3</v>
      </c>
      <c r="P25" s="102">
        <v>7.2605018691333299E-6</v>
      </c>
      <c r="Q25" s="190">
        <f t="shared" si="4"/>
        <v>2.5743858572880087E-7</v>
      </c>
      <c r="R25" s="191">
        <f t="shared" si="5"/>
        <v>2.5743858575322443E-7</v>
      </c>
      <c r="S25" s="191">
        <f t="shared" si="6"/>
        <v>-5.1309584528629425E-8</v>
      </c>
      <c r="T25" s="192">
        <f t="shared" si="7"/>
        <v>3.4998942050630247E-16</v>
      </c>
    </row>
    <row r="26" spans="3:20" ht="15.75" thickTop="1" x14ac:dyDescent="0.25">
      <c r="C26" s="203">
        <v>1.8</v>
      </c>
      <c r="D26" s="204" t="s">
        <v>32</v>
      </c>
      <c r="E26" s="205">
        <f>C26/1000</f>
        <v>1.8E-3</v>
      </c>
      <c r="F26" s="350">
        <v>0.9</v>
      </c>
      <c r="G26" s="204" t="s">
        <v>38</v>
      </c>
      <c r="H26" s="205">
        <f>F26*1609.4/3600</f>
        <v>0.40234999999999999</v>
      </c>
      <c r="I26" s="351">
        <f t="shared" si="1"/>
        <v>1.4569697024999998E-7</v>
      </c>
      <c r="J26" s="504">
        <f t="shared" si="0"/>
        <v>1.4569697024999998E-4</v>
      </c>
      <c r="K26" s="504">
        <f>I26/4.187</f>
        <v>3.4797461249104365E-8</v>
      </c>
      <c r="L26" s="352">
        <f>I26/3600</f>
        <v>4.0471380624999995E-11</v>
      </c>
      <c r="M26" s="353">
        <v>1.4569697025000001E-7</v>
      </c>
      <c r="N26" s="504">
        <v>1.45697E-4</v>
      </c>
      <c r="O26" s="504">
        <v>3.4797461249104398E-8</v>
      </c>
      <c r="P26" s="353">
        <v>4.0471380625000002E-11</v>
      </c>
      <c r="Q26" s="370">
        <f t="shared" si="4"/>
        <v>-1.8167693917229476E-16</v>
      </c>
      <c r="R26" s="424">
        <f t="shared" si="5"/>
        <v>-2.0419093111958614E-7</v>
      </c>
      <c r="S26" s="424">
        <f t="shared" si="6"/>
        <v>-9.5085168039299764E-16</v>
      </c>
      <c r="T26" s="518">
        <f t="shared" si="7"/>
        <v>-1.596769973193997E-16</v>
      </c>
    </row>
    <row r="27" spans="3:20" x14ac:dyDescent="0.25">
      <c r="C27" s="213">
        <v>438</v>
      </c>
      <c r="D27" s="214" t="s">
        <v>30</v>
      </c>
      <c r="E27" s="215">
        <f>C27</f>
        <v>438</v>
      </c>
      <c r="F27" s="354">
        <v>200</v>
      </c>
      <c r="G27" s="214" t="s">
        <v>38</v>
      </c>
      <c r="H27" s="216">
        <f>F27*1609.4/3600</f>
        <v>89.411111111111111</v>
      </c>
      <c r="I27" s="224">
        <f t="shared" si="1"/>
        <v>1750.7619470370373</v>
      </c>
      <c r="J27" s="505">
        <f t="shared" si="0"/>
        <v>1750761.9470370372</v>
      </c>
      <c r="K27" s="483">
        <f>I27/4.187</f>
        <v>418.14233270528712</v>
      </c>
      <c r="L27" s="355">
        <f>I27/3600</f>
        <v>0.48632276306584371</v>
      </c>
      <c r="M27" s="356">
        <v>1750.76</v>
      </c>
      <c r="N27" s="505">
        <v>1750762</v>
      </c>
      <c r="O27" s="483">
        <v>418.142</v>
      </c>
      <c r="P27" s="357">
        <v>0.48632300000000001</v>
      </c>
      <c r="Q27" s="221">
        <f t="shared" si="4"/>
        <v>1.1121083826505982E-6</v>
      </c>
      <c r="R27" s="222">
        <f t="shared" si="5"/>
        <v>-3.0251378755671655E-8</v>
      </c>
      <c r="S27" s="222">
        <f t="shared" si="6"/>
        <v>7.9567472867155628E-7</v>
      </c>
      <c r="T27" s="223">
        <f t="shared" si="7"/>
        <v>-4.8719528323330221E-7</v>
      </c>
    </row>
    <row r="28" spans="3:20" x14ac:dyDescent="0.25">
      <c r="C28" s="213">
        <v>93</v>
      </c>
      <c r="D28" s="214" t="s">
        <v>33</v>
      </c>
      <c r="E28" s="215">
        <f>C28*0.45359237</f>
        <v>42.184090410000003</v>
      </c>
      <c r="F28" s="354">
        <v>145</v>
      </c>
      <c r="G28" s="214" t="s">
        <v>38</v>
      </c>
      <c r="H28" s="215">
        <f>F28*1609.4/3600</f>
        <v>64.823055555555555</v>
      </c>
      <c r="I28" s="358">
        <f t="shared" si="1"/>
        <v>88.629375740334638</v>
      </c>
      <c r="J28" s="505">
        <f t="shared" si="0"/>
        <v>88629.375740334639</v>
      </c>
      <c r="K28" s="483">
        <f>I28/4.187</f>
        <v>21.167751550115746</v>
      </c>
      <c r="L28" s="355">
        <f>I28/3600</f>
        <v>2.4619271038981844E-2</v>
      </c>
      <c r="M28" s="359">
        <v>88.629400000000004</v>
      </c>
      <c r="N28" s="505">
        <v>88629.4</v>
      </c>
      <c r="O28" s="483">
        <v>21.1678</v>
      </c>
      <c r="P28" s="357">
        <v>2.46193E-2</v>
      </c>
      <c r="Q28" s="221">
        <f t="shared" si="4"/>
        <v>-2.7372036826051616E-7</v>
      </c>
      <c r="R28" s="222">
        <f t="shared" si="5"/>
        <v>-2.7372036813480937E-7</v>
      </c>
      <c r="S28" s="222">
        <f t="shared" si="6"/>
        <v>-2.2888535959613228E-6</v>
      </c>
      <c r="T28" s="223">
        <f t="shared" si="7"/>
        <v>-1.176355632573243E-6</v>
      </c>
    </row>
    <row r="29" spans="3:20" x14ac:dyDescent="0.25">
      <c r="C29" s="213">
        <v>482</v>
      </c>
      <c r="D29" s="214" t="s">
        <v>34</v>
      </c>
      <c r="E29" s="215">
        <f>C29*1000</f>
        <v>482000</v>
      </c>
      <c r="F29" s="354">
        <v>890</v>
      </c>
      <c r="G29" s="214" t="s">
        <v>38</v>
      </c>
      <c r="H29" s="216">
        <f>F29*1609.4/3600</f>
        <v>397.87944444444446</v>
      </c>
      <c r="I29" s="224">
        <f t="shared" si="1"/>
        <v>38152240.607052162</v>
      </c>
      <c r="J29" s="505">
        <f t="shared" si="0"/>
        <v>38152240607.052162</v>
      </c>
      <c r="K29" s="505">
        <f>I29/4.187</f>
        <v>9112070.8399933502</v>
      </c>
      <c r="L29" s="360">
        <f>I29/3600</f>
        <v>10597.844613070045</v>
      </c>
      <c r="M29" s="356">
        <v>38152241</v>
      </c>
      <c r="N29" s="505">
        <v>38152240607</v>
      </c>
      <c r="O29" s="505">
        <v>9112071</v>
      </c>
      <c r="P29" s="356">
        <v>10597.8</v>
      </c>
      <c r="Q29" s="221">
        <f t="shared" si="4"/>
        <v>-1.0299469479591902E-8</v>
      </c>
      <c r="R29" s="222">
        <f t="shared" si="5"/>
        <v>1.3672111933712867E-12</v>
      </c>
      <c r="S29" s="222">
        <f t="shared" si="6"/>
        <v>-1.7559855778328335E-8</v>
      </c>
      <c r="T29" s="223">
        <f t="shared" si="7"/>
        <v>4.2096361736282182E-6</v>
      </c>
    </row>
    <row r="30" spans="3:20" ht="15.75" thickBot="1" x14ac:dyDescent="0.3">
      <c r="C30" s="227">
        <v>511</v>
      </c>
      <c r="D30" s="228" t="s">
        <v>35</v>
      </c>
      <c r="E30" s="361">
        <f>C30*31.1034768/1000</f>
        <v>15.893876644799999</v>
      </c>
      <c r="F30" s="362">
        <v>789</v>
      </c>
      <c r="G30" s="228" t="s">
        <v>38</v>
      </c>
      <c r="H30" s="229">
        <f>F30*1609.4/3600</f>
        <v>352.72683333333333</v>
      </c>
      <c r="I30" s="363">
        <f t="shared" si="1"/>
        <v>988.72801832857454</v>
      </c>
      <c r="J30" s="506">
        <f t="shared" si="0"/>
        <v>988728.01832857449</v>
      </c>
      <c r="K30" s="507">
        <f>I30/4.187</f>
        <v>236.14234973216492</v>
      </c>
      <c r="L30" s="364">
        <f>I30/3600</f>
        <v>0.27464667175793739</v>
      </c>
      <c r="M30" s="232">
        <v>988.72799999999995</v>
      </c>
      <c r="N30" s="506">
        <v>988728</v>
      </c>
      <c r="O30" s="507">
        <v>236.142</v>
      </c>
      <c r="P30" s="365">
        <v>0.27464699999999997</v>
      </c>
      <c r="Q30" s="234">
        <f t="shared" si="4"/>
        <v>1.8537529273598278E-8</v>
      </c>
      <c r="R30" s="235">
        <f t="shared" si="5"/>
        <v>1.8537529175172898E-8</v>
      </c>
      <c r="S30" s="235">
        <f t="shared" si="6"/>
        <v>1.48102263451386E-6</v>
      </c>
      <c r="T30" s="236">
        <f t="shared" si="7"/>
        <v>-1.1951430559310802E-6</v>
      </c>
    </row>
    <row r="31" spans="3:20" ht="15.75" thickTop="1" x14ac:dyDescent="0.25">
      <c r="F31" s="25"/>
      <c r="L31" s="100"/>
    </row>
    <row r="32" spans="3:20" ht="15.75" thickBot="1" x14ac:dyDescent="0.3"/>
    <row r="33" spans="3:20" ht="15.75" thickTop="1" x14ac:dyDescent="0.25">
      <c r="C33" s="2488" t="s">
        <v>0</v>
      </c>
      <c r="D33" s="2489"/>
      <c r="E33" s="2489"/>
      <c r="F33" s="2489"/>
      <c r="G33" s="2489"/>
      <c r="H33" s="2495"/>
      <c r="I33" s="2483" t="s">
        <v>158</v>
      </c>
      <c r="J33" s="2484"/>
      <c r="K33" s="2484"/>
      <c r="L33" s="2485"/>
      <c r="M33" s="2489" t="s">
        <v>17</v>
      </c>
      <c r="N33" s="2489"/>
      <c r="O33" s="2489"/>
      <c r="P33" s="2495"/>
      <c r="Q33" s="2483" t="s">
        <v>8</v>
      </c>
      <c r="R33" s="2484"/>
      <c r="S33" s="2484"/>
      <c r="T33" s="2485"/>
    </row>
    <row r="34" spans="3:20" ht="15.75" thickBot="1" x14ac:dyDescent="0.3">
      <c r="C34" s="2486" t="s">
        <v>28</v>
      </c>
      <c r="D34" s="2487"/>
      <c r="E34" s="2487"/>
      <c r="F34" s="2500" t="s">
        <v>27</v>
      </c>
      <c r="G34" s="2487"/>
      <c r="H34" s="2496"/>
      <c r="I34" s="2480" t="s">
        <v>29</v>
      </c>
      <c r="J34" s="2481"/>
      <c r="K34" s="2481"/>
      <c r="L34" s="2482"/>
      <c r="M34" s="2486" t="s">
        <v>29</v>
      </c>
      <c r="N34" s="2487"/>
      <c r="O34" s="2487"/>
      <c r="P34" s="2496"/>
      <c r="Q34" s="2480" t="s">
        <v>29</v>
      </c>
      <c r="R34" s="2481"/>
      <c r="S34" s="2481"/>
      <c r="T34" s="2482"/>
    </row>
    <row r="35" spans="3:20" ht="15.75" thickBot="1" x14ac:dyDescent="0.3">
      <c r="C35" s="14" t="s">
        <v>3</v>
      </c>
      <c r="D35" s="66" t="s">
        <v>4</v>
      </c>
      <c r="E35" s="50" t="s">
        <v>30</v>
      </c>
      <c r="F35" s="51" t="s">
        <v>3</v>
      </c>
      <c r="G35" s="66" t="s">
        <v>4</v>
      </c>
      <c r="H35" s="52" t="s">
        <v>10</v>
      </c>
      <c r="I35" s="13" t="s">
        <v>36</v>
      </c>
      <c r="J35" s="87" t="s">
        <v>37</v>
      </c>
      <c r="K35" s="87" t="s">
        <v>31</v>
      </c>
      <c r="L35" s="54" t="s">
        <v>38</v>
      </c>
      <c r="M35" s="14" t="s">
        <v>36</v>
      </c>
      <c r="N35" s="83" t="s">
        <v>37</v>
      </c>
      <c r="O35" s="83" t="s">
        <v>31</v>
      </c>
      <c r="P35" s="52" t="s">
        <v>38</v>
      </c>
      <c r="Q35" s="13" t="s">
        <v>36</v>
      </c>
      <c r="R35" s="87" t="s">
        <v>37</v>
      </c>
      <c r="S35" s="87" t="s">
        <v>31</v>
      </c>
      <c r="T35" s="54" t="s">
        <v>38</v>
      </c>
    </row>
    <row r="36" spans="3:20" ht="15.75" thickTop="1" x14ac:dyDescent="0.25">
      <c r="C36" s="963">
        <v>15.6</v>
      </c>
      <c r="D36" s="964" t="s">
        <v>32</v>
      </c>
      <c r="E36" s="965">
        <f>C36/1000</f>
        <v>1.5599999999999999E-2</v>
      </c>
      <c r="F36" s="966">
        <v>29</v>
      </c>
      <c r="G36" s="964" t="s">
        <v>25</v>
      </c>
      <c r="H36" s="967">
        <f>F36*1000</f>
        <v>29000</v>
      </c>
      <c r="I36" s="968">
        <f>K36*3600/1000</f>
        <v>6941.5139115768816</v>
      </c>
      <c r="J36" s="969">
        <f>K36*60</f>
        <v>115691.89852628137</v>
      </c>
      <c r="K36" s="969">
        <f>SQRT(2*(H36/E36))</f>
        <v>1928.1983087713561</v>
      </c>
      <c r="L36" s="970">
        <f>K36*3600/1609.4</f>
        <v>4313.1066929146773</v>
      </c>
      <c r="M36" s="971">
        <v>6941.51</v>
      </c>
      <c r="N36" s="969">
        <v>115692</v>
      </c>
      <c r="O36" s="969">
        <v>1928.2</v>
      </c>
      <c r="P36" s="970">
        <v>4313.1099999999997</v>
      </c>
      <c r="Q36" s="885">
        <f xml:space="preserve"> (I36-M36)/I36</f>
        <v>5.6350486812982174E-7</v>
      </c>
      <c r="R36" s="886">
        <f xml:space="preserve"> (J36-N36)/J36</f>
        <v>-8.7710306362699224E-7</v>
      </c>
      <c r="S36" s="886">
        <f xml:space="preserve"> (K36-O36)/K36</f>
        <v>-8.7710306365057629E-7</v>
      </c>
      <c r="T36" s="887">
        <f xml:space="preserve"> (L36-P36)/L36</f>
        <v>-7.6675249601613456E-7</v>
      </c>
    </row>
    <row r="37" spans="3:20" x14ac:dyDescent="0.25">
      <c r="C37" s="71">
        <v>1356</v>
      </c>
      <c r="D37" s="59" t="s">
        <v>30</v>
      </c>
      <c r="E37" s="32">
        <f>C37</f>
        <v>1356</v>
      </c>
      <c r="F37" s="972">
        <v>900</v>
      </c>
      <c r="G37" s="59" t="s">
        <v>25</v>
      </c>
      <c r="H37" s="889">
        <f>F37*1000</f>
        <v>900000</v>
      </c>
      <c r="I37" s="890">
        <f t="shared" ref="I37:I55" si="8">K37*3600/1000</f>
        <v>131.16226524046027</v>
      </c>
      <c r="J37" s="892">
        <f t="shared" ref="J37:J55" si="9">K37*60</f>
        <v>2186.0377540076711</v>
      </c>
      <c r="K37" s="892">
        <f t="shared" ref="K37:K55" si="10">SQRT(2*(H37/E37))</f>
        <v>36.43396256679452</v>
      </c>
      <c r="L37" s="893">
        <f t="shared" ref="L37:L55" si="11">K37*3600/1609.4</f>
        <v>81.497617273804082</v>
      </c>
      <c r="M37" s="973">
        <v>131.16200000000001</v>
      </c>
      <c r="N37" s="892">
        <v>2186.04</v>
      </c>
      <c r="O37" s="892">
        <v>36.433999999999997</v>
      </c>
      <c r="P37" s="893">
        <v>81.497600000000006</v>
      </c>
      <c r="Q37" s="897">
        <f t="shared" ref="Q37:Q55" si="12" xml:space="preserve"> (I37-M37)/I37</f>
        <v>2.0222314686269904E-6</v>
      </c>
      <c r="R37" s="898">
        <f t="shared" ref="R37:R55" si="13" xml:space="preserve"> (J37-N37)/J37</f>
        <v>-1.0274261388043682E-6</v>
      </c>
      <c r="S37" s="898">
        <f t="shared" ref="S37:S55" si="14" xml:space="preserve"> (K37-O37)/K37</f>
        <v>-1.0274261387003563E-6</v>
      </c>
      <c r="T37" s="899">
        <f t="shared" ref="T37:T55" si="15" xml:space="preserve"> (L37-P37)/L37</f>
        <v>2.1195471295778188E-7</v>
      </c>
    </row>
    <row r="38" spans="3:20" x14ac:dyDescent="0.25">
      <c r="C38" s="71">
        <v>496</v>
      </c>
      <c r="D38" s="59" t="s">
        <v>33</v>
      </c>
      <c r="E38" s="32">
        <f>C38*0.45359237</f>
        <v>224.98181552</v>
      </c>
      <c r="F38" s="972">
        <v>5620</v>
      </c>
      <c r="G38" s="59" t="s">
        <v>25</v>
      </c>
      <c r="H38" s="889">
        <f>F38*1000</f>
        <v>5620000</v>
      </c>
      <c r="I38" s="890">
        <f t="shared" si="8"/>
        <v>804.65913838056588</v>
      </c>
      <c r="J38" s="892">
        <f t="shared" si="9"/>
        <v>13410.985639676097</v>
      </c>
      <c r="K38" s="892">
        <f t="shared" si="10"/>
        <v>223.51642732793496</v>
      </c>
      <c r="L38" s="893">
        <f t="shared" si="11"/>
        <v>499.97461065028324</v>
      </c>
      <c r="M38" s="973">
        <v>804.65899999999999</v>
      </c>
      <c r="N38" s="892">
        <v>13411</v>
      </c>
      <c r="O38" s="892">
        <v>223.51599999999999</v>
      </c>
      <c r="P38" s="893">
        <v>499.97500000000002</v>
      </c>
      <c r="Q38" s="897">
        <f t="shared" si="12"/>
        <v>1.7197414319386225E-7</v>
      </c>
      <c r="R38" s="898">
        <f t="shared" si="13"/>
        <v>-1.0707881052780489E-6</v>
      </c>
      <c r="S38" s="898">
        <f t="shared" si="14"/>
        <v>1.9118412909528118E-6</v>
      </c>
      <c r="T38" s="899">
        <f t="shared" si="15"/>
        <v>-7.7873897691989969E-7</v>
      </c>
    </row>
    <row r="39" spans="3:20" x14ac:dyDescent="0.25">
      <c r="C39" s="71">
        <v>6</v>
      </c>
      <c r="D39" s="59" t="s">
        <v>34</v>
      </c>
      <c r="E39" s="32">
        <f>C39*1000</f>
        <v>6000</v>
      </c>
      <c r="F39" s="972">
        <v>196</v>
      </c>
      <c r="G39" s="59" t="s">
        <v>25</v>
      </c>
      <c r="H39" s="889">
        <f>F39*1000</f>
        <v>196000</v>
      </c>
      <c r="I39" s="890">
        <f t="shared" si="8"/>
        <v>29.09845356715714</v>
      </c>
      <c r="J39" s="892">
        <f t="shared" si="9"/>
        <v>484.97422611928567</v>
      </c>
      <c r="K39" s="892">
        <f t="shared" si="10"/>
        <v>8.0829037686547611</v>
      </c>
      <c r="L39" s="893">
        <f t="shared" si="11"/>
        <v>18.08031164853805</v>
      </c>
      <c r="M39" s="890">
        <v>29.098500000000001</v>
      </c>
      <c r="N39" s="892">
        <v>484.97399999999999</v>
      </c>
      <c r="O39" s="892">
        <v>8.0829000000000004</v>
      </c>
      <c r="P39" s="973">
        <v>18.080300000000001</v>
      </c>
      <c r="Q39" s="897">
        <f t="shared" si="12"/>
        <v>-1.5957151384061619E-6</v>
      </c>
      <c r="R39" s="898">
        <f t="shared" si="13"/>
        <v>4.6625010878274553E-7</v>
      </c>
      <c r="S39" s="898">
        <f t="shared" si="14"/>
        <v>4.6625010869483865E-7</v>
      </c>
      <c r="T39" s="899">
        <f t="shared" si="15"/>
        <v>6.4426644159891089E-7</v>
      </c>
    </row>
    <row r="40" spans="3:20" ht="15.75" thickBot="1" x14ac:dyDescent="0.3">
      <c r="C40" s="974">
        <v>7.9</v>
      </c>
      <c r="D40" s="953" t="s">
        <v>35</v>
      </c>
      <c r="E40" s="975">
        <f>C40*31.1034768/1000</f>
        <v>0.24571746672</v>
      </c>
      <c r="F40" s="976">
        <v>5</v>
      </c>
      <c r="G40" s="953" t="s">
        <v>25</v>
      </c>
      <c r="H40" s="954">
        <f>F40*1000</f>
        <v>5000</v>
      </c>
      <c r="I40" s="977">
        <f t="shared" si="8"/>
        <v>726.2472253411504</v>
      </c>
      <c r="J40" s="957">
        <f t="shared" si="9"/>
        <v>12104.120422352507</v>
      </c>
      <c r="K40" s="957">
        <f t="shared" si="10"/>
        <v>201.7353403725418</v>
      </c>
      <c r="L40" s="978">
        <f t="shared" si="11"/>
        <v>451.25340210087631</v>
      </c>
      <c r="M40" s="977">
        <v>726.24699999999996</v>
      </c>
      <c r="N40" s="957">
        <v>12104.1</v>
      </c>
      <c r="O40" s="957">
        <v>201.73500000000001</v>
      </c>
      <c r="P40" s="979">
        <v>451.25299999999999</v>
      </c>
      <c r="Q40" s="980">
        <f t="shared" si="12"/>
        <v>3.102815991261992E-7</v>
      </c>
      <c r="R40" s="981">
        <f t="shared" si="13"/>
        <v>1.6872231764398425E-6</v>
      </c>
      <c r="S40" s="981">
        <f t="shared" si="14"/>
        <v>1.6872231764492349E-6</v>
      </c>
      <c r="T40" s="982">
        <f t="shared" si="15"/>
        <v>8.9107555634333092E-7</v>
      </c>
    </row>
    <row r="41" spans="3:20" ht="15.75" thickTop="1" x14ac:dyDescent="0.25">
      <c r="C41" s="1332">
        <v>7123</v>
      </c>
      <c r="D41" s="1333" t="s">
        <v>32</v>
      </c>
      <c r="E41" s="1334">
        <f>C41/1000</f>
        <v>7.1230000000000002</v>
      </c>
      <c r="F41" s="1335">
        <v>2640</v>
      </c>
      <c r="G41" s="1333" t="s">
        <v>10</v>
      </c>
      <c r="H41" s="1334">
        <f>F41</f>
        <v>2640</v>
      </c>
      <c r="I41" s="1356">
        <f t="shared" si="8"/>
        <v>98.013972134995257</v>
      </c>
      <c r="J41" s="1357">
        <f t="shared" si="9"/>
        <v>1633.5662022499212</v>
      </c>
      <c r="K41" s="1357">
        <f t="shared" si="10"/>
        <v>27.226103370832018</v>
      </c>
      <c r="L41" s="1358">
        <f t="shared" si="11"/>
        <v>60.900939564430999</v>
      </c>
      <c r="M41" s="1359">
        <v>98.013999999999996</v>
      </c>
      <c r="N41" s="1357">
        <v>1633.57</v>
      </c>
      <c r="O41" s="1357">
        <v>27.226099999999999</v>
      </c>
      <c r="P41" s="1359">
        <v>60.9009</v>
      </c>
      <c r="Q41" s="1341">
        <f t="shared" si="12"/>
        <v>-2.8429625013860945E-7</v>
      </c>
      <c r="R41" s="1342">
        <f t="shared" si="13"/>
        <v>-2.324821653107191E-6</v>
      </c>
      <c r="S41" s="1342">
        <f t="shared" si="14"/>
        <v>1.2380883055253887E-7</v>
      </c>
      <c r="T41" s="1343">
        <f t="shared" si="15"/>
        <v>6.4965222674590994E-7</v>
      </c>
    </row>
    <row r="42" spans="3:20" x14ac:dyDescent="0.25">
      <c r="C42" s="1268">
        <v>6300</v>
      </c>
      <c r="D42" s="1269" t="s">
        <v>30</v>
      </c>
      <c r="E42" s="1254">
        <f>C42</f>
        <v>6300</v>
      </c>
      <c r="F42" s="1344">
        <v>94</v>
      </c>
      <c r="G42" s="1269" t="s">
        <v>10</v>
      </c>
      <c r="H42" s="1270">
        <f>F42</f>
        <v>94</v>
      </c>
      <c r="I42" s="1360">
        <f t="shared" si="8"/>
        <v>0.62188653076172762</v>
      </c>
      <c r="J42" s="1282">
        <f t="shared" si="9"/>
        <v>10.364775512695461</v>
      </c>
      <c r="K42" s="1282">
        <f t="shared" si="10"/>
        <v>0.17274625854492434</v>
      </c>
      <c r="L42" s="1274">
        <f t="shared" si="11"/>
        <v>0.38640892926663822</v>
      </c>
      <c r="M42" s="1361">
        <v>0.62188699999999997</v>
      </c>
      <c r="N42" s="1282">
        <v>10.364800000000001</v>
      </c>
      <c r="O42" s="1282">
        <v>0.17274600000000001</v>
      </c>
      <c r="P42" s="1361">
        <v>0.386409</v>
      </c>
      <c r="Q42" s="1277">
        <f t="shared" si="12"/>
        <v>-7.5454001516077737E-7</v>
      </c>
      <c r="R42" s="1278">
        <f t="shared" si="13"/>
        <v>-2.3625504005985991E-6</v>
      </c>
      <c r="S42" s="1278">
        <f t="shared" si="14"/>
        <v>1.496674524291501E-6</v>
      </c>
      <c r="T42" s="1279">
        <f t="shared" si="15"/>
        <v>-1.8305312434968389E-7</v>
      </c>
    </row>
    <row r="43" spans="3:20" x14ac:dyDescent="0.25">
      <c r="C43" s="1268">
        <v>389</v>
      </c>
      <c r="D43" s="1269" t="s">
        <v>33</v>
      </c>
      <c r="E43" s="1254">
        <f>C43*0.45359237</f>
        <v>176.44743193000002</v>
      </c>
      <c r="F43" s="1344">
        <v>6</v>
      </c>
      <c r="G43" s="1269" t="s">
        <v>10</v>
      </c>
      <c r="H43" s="1254">
        <f>F43</f>
        <v>6</v>
      </c>
      <c r="I43" s="1360">
        <f t="shared" si="8"/>
        <v>0.93882674435296887</v>
      </c>
      <c r="J43" s="1282">
        <f t="shared" si="9"/>
        <v>15.647112405882813</v>
      </c>
      <c r="K43" s="1282">
        <f t="shared" si="10"/>
        <v>0.26078520676471356</v>
      </c>
      <c r="L43" s="1274">
        <f t="shared" si="11"/>
        <v>0.58333959509939648</v>
      </c>
      <c r="M43" s="1361">
        <v>0.93882699999999997</v>
      </c>
      <c r="N43" s="1282">
        <v>15.6471</v>
      </c>
      <c r="O43" s="1282">
        <v>0.26078499999999999</v>
      </c>
      <c r="P43" s="1361">
        <v>0.58333999999999997</v>
      </c>
      <c r="Q43" s="1277">
        <f t="shared" si="12"/>
        <v>-2.7230480239047258E-7</v>
      </c>
      <c r="R43" s="1278">
        <f t="shared" si="13"/>
        <v>7.9285445721076809E-7</v>
      </c>
      <c r="S43" s="1278">
        <f t="shared" si="14"/>
        <v>7.9285445726753115E-7</v>
      </c>
      <c r="T43" s="1279">
        <f t="shared" si="15"/>
        <v>-6.9410786939824505E-7</v>
      </c>
    </row>
    <row r="44" spans="3:20" x14ac:dyDescent="0.25">
      <c r="C44" s="1268">
        <v>8</v>
      </c>
      <c r="D44" s="1269" t="s">
        <v>34</v>
      </c>
      <c r="E44" s="1254">
        <f>C44*1000</f>
        <v>8000</v>
      </c>
      <c r="F44" s="1344">
        <v>168</v>
      </c>
      <c r="G44" s="1269" t="s">
        <v>10</v>
      </c>
      <c r="H44" s="1270">
        <f>F44</f>
        <v>168</v>
      </c>
      <c r="I44" s="1360">
        <f t="shared" si="8"/>
        <v>0.73778045514909119</v>
      </c>
      <c r="J44" s="1282">
        <f t="shared" si="9"/>
        <v>12.296340919151518</v>
      </c>
      <c r="K44" s="1282">
        <f t="shared" si="10"/>
        <v>0.20493901531919198</v>
      </c>
      <c r="L44" s="1274">
        <f t="shared" si="11"/>
        <v>0.45841956949738483</v>
      </c>
      <c r="M44" s="1361">
        <v>0.73777999999999999</v>
      </c>
      <c r="N44" s="1282">
        <v>12.2963</v>
      </c>
      <c r="O44" s="1282">
        <v>0.20493900000000001</v>
      </c>
      <c r="P44" s="1361">
        <v>0.45841999999999999</v>
      </c>
      <c r="Q44" s="1277">
        <f t="shared" si="12"/>
        <v>6.169167101372651E-7</v>
      </c>
      <c r="R44" s="1278">
        <f t="shared" si="13"/>
        <v>3.3277502459365749E-6</v>
      </c>
      <c r="S44" s="1278">
        <f t="shared" si="14"/>
        <v>7.4750002807660035E-8</v>
      </c>
      <c r="T44" s="1279">
        <f t="shared" si="15"/>
        <v>-9.3910173956889114E-7</v>
      </c>
    </row>
    <row r="45" spans="3:20" ht="15.75" thickBot="1" x14ac:dyDescent="0.3">
      <c r="C45" s="1362">
        <v>0.15</v>
      </c>
      <c r="D45" s="1348" t="s">
        <v>35</v>
      </c>
      <c r="E45" s="1349">
        <f>C45*31.1034768/1000</f>
        <v>4.6655215199999994E-3</v>
      </c>
      <c r="F45" s="1350">
        <v>19</v>
      </c>
      <c r="G45" s="1348" t="s">
        <v>10</v>
      </c>
      <c r="H45" s="1351">
        <f>F45</f>
        <v>19</v>
      </c>
      <c r="I45" s="1363">
        <f t="shared" si="8"/>
        <v>324.89587737322768</v>
      </c>
      <c r="J45" s="1364">
        <f t="shared" si="9"/>
        <v>5414.9312895537942</v>
      </c>
      <c r="K45" s="1364">
        <f t="shared" si="10"/>
        <v>90.248854825896572</v>
      </c>
      <c r="L45" s="1365">
        <f t="shared" si="11"/>
        <v>201.87391411285427</v>
      </c>
      <c r="M45" s="1366">
        <v>324.89600000000002</v>
      </c>
      <c r="N45" s="1364">
        <v>5414.93</v>
      </c>
      <c r="O45" s="1364">
        <v>90.248900000000006</v>
      </c>
      <c r="P45" s="1366">
        <v>201.874</v>
      </c>
      <c r="Q45" s="1367">
        <f t="shared" si="12"/>
        <v>-3.7743406696828941E-7</v>
      </c>
      <c r="R45" s="1368">
        <f t="shared" si="13"/>
        <v>2.3814776677873395E-7</v>
      </c>
      <c r="S45" s="1368">
        <f t="shared" si="14"/>
        <v>-5.0055043381007235E-7</v>
      </c>
      <c r="T45" s="1369">
        <f t="shared" si="15"/>
        <v>-4.2544945000493471E-7</v>
      </c>
    </row>
    <row r="46" spans="3:20" ht="15.75" thickTop="1" x14ac:dyDescent="0.25">
      <c r="C46" s="92">
        <v>944</v>
      </c>
      <c r="D46" s="61" t="s">
        <v>32</v>
      </c>
      <c r="E46" s="45">
        <f>C46/1000</f>
        <v>0.94399999999999995</v>
      </c>
      <c r="F46" s="107">
        <v>1690</v>
      </c>
      <c r="G46" s="61" t="s">
        <v>11</v>
      </c>
      <c r="H46" s="45">
        <f>F46*4.187*1000</f>
        <v>7076030.0000000009</v>
      </c>
      <c r="I46" s="280">
        <f t="shared" si="8"/>
        <v>13938.83041077475</v>
      </c>
      <c r="J46" s="324">
        <f t="shared" si="9"/>
        <v>232313.84017957919</v>
      </c>
      <c r="K46" s="324">
        <f t="shared" si="10"/>
        <v>3871.8973363263199</v>
      </c>
      <c r="L46" s="281">
        <f t="shared" si="11"/>
        <v>8660.8862997233446</v>
      </c>
      <c r="M46" s="282">
        <v>13938.8</v>
      </c>
      <c r="N46" s="324">
        <v>232314</v>
      </c>
      <c r="O46" s="324">
        <v>3871.9</v>
      </c>
      <c r="P46" s="282">
        <v>8660.89</v>
      </c>
      <c r="Q46" s="283">
        <f t="shared" si="12"/>
        <v>2.181730737403005E-6</v>
      </c>
      <c r="R46" s="315">
        <f t="shared" si="13"/>
        <v>-6.8795049270205627E-7</v>
      </c>
      <c r="S46" s="315">
        <f t="shared" si="14"/>
        <v>-6.8795049270205627E-7</v>
      </c>
      <c r="T46" s="343">
        <f t="shared" si="15"/>
        <v>-4.2723995291014838E-7</v>
      </c>
    </row>
    <row r="47" spans="3:20" x14ac:dyDescent="0.25">
      <c r="C47" s="72">
        <v>599</v>
      </c>
      <c r="D47" s="62" t="s">
        <v>30</v>
      </c>
      <c r="E47" s="34">
        <f>C47</f>
        <v>599</v>
      </c>
      <c r="F47" s="284">
        <v>15.5</v>
      </c>
      <c r="G47" s="62" t="s">
        <v>11</v>
      </c>
      <c r="H47" s="34">
        <f>F47*4.187*1000</f>
        <v>64898.5</v>
      </c>
      <c r="I47" s="94">
        <f t="shared" si="8"/>
        <v>52.993355176110228</v>
      </c>
      <c r="J47" s="152">
        <f t="shared" si="9"/>
        <v>883.22258626850385</v>
      </c>
      <c r="K47" s="152">
        <f t="shared" si="10"/>
        <v>14.720376437808397</v>
      </c>
      <c r="L47" s="153">
        <f t="shared" si="11"/>
        <v>32.927398518771113</v>
      </c>
      <c r="M47" s="285">
        <v>52.993400000000001</v>
      </c>
      <c r="N47" s="152">
        <v>883.22299999999996</v>
      </c>
      <c r="O47" s="152">
        <v>14.7204</v>
      </c>
      <c r="P47" s="285">
        <v>32.927399999999999</v>
      </c>
      <c r="Q47" s="155">
        <f t="shared" si="12"/>
        <v>-8.4583981565737192E-7</v>
      </c>
      <c r="R47" s="156">
        <f t="shared" si="13"/>
        <v>-4.6843400807701642E-7</v>
      </c>
      <c r="S47" s="156">
        <f t="shared" si="14"/>
        <v>-1.6006514304721524E-6</v>
      </c>
      <c r="T47" s="157">
        <f t="shared" si="15"/>
        <v>-4.4984692139604294E-8</v>
      </c>
    </row>
    <row r="48" spans="3:20" x14ac:dyDescent="0.25">
      <c r="C48" s="72">
        <v>9295</v>
      </c>
      <c r="D48" s="62" t="s">
        <v>33</v>
      </c>
      <c r="E48" s="34">
        <f>C48*0.45359237</f>
        <v>4216.1410791500002</v>
      </c>
      <c r="F48" s="284">
        <v>0.9</v>
      </c>
      <c r="G48" s="62" t="s">
        <v>11</v>
      </c>
      <c r="H48" s="34">
        <f>F48*4.187*1000</f>
        <v>3768.3000000000006</v>
      </c>
      <c r="I48" s="94">
        <f t="shared" si="8"/>
        <v>4.8131862396195375</v>
      </c>
      <c r="J48" s="152">
        <f t="shared" si="9"/>
        <v>80.219770660325622</v>
      </c>
      <c r="K48" s="152">
        <f t="shared" si="10"/>
        <v>1.3369961776720938</v>
      </c>
      <c r="L48" s="153">
        <f t="shared" si="11"/>
        <v>2.9906712064244672</v>
      </c>
      <c r="M48" s="285">
        <v>4.8131899999999996</v>
      </c>
      <c r="N48" s="152">
        <v>80.219800000000006</v>
      </c>
      <c r="O48" s="152">
        <v>1.337</v>
      </c>
      <c r="P48" s="285">
        <v>2.9906700000000002</v>
      </c>
      <c r="Q48" s="155">
        <f t="shared" si="12"/>
        <v>-7.8126635349618434E-7</v>
      </c>
      <c r="R48" s="156">
        <f t="shared" si="13"/>
        <v>-3.6574119001742291E-7</v>
      </c>
      <c r="S48" s="156">
        <f t="shared" si="14"/>
        <v>-2.8588921718864546E-6</v>
      </c>
      <c r="T48" s="157">
        <f t="shared" si="15"/>
        <v>4.0339588798705939E-7</v>
      </c>
    </row>
    <row r="49" spans="3:23" x14ac:dyDescent="0.25">
      <c r="C49" s="93">
        <v>0.46</v>
      </c>
      <c r="D49" s="62" t="s">
        <v>34</v>
      </c>
      <c r="E49" s="34">
        <f>C49*1000</f>
        <v>460</v>
      </c>
      <c r="F49" s="108">
        <v>59</v>
      </c>
      <c r="G49" s="62" t="s">
        <v>11</v>
      </c>
      <c r="H49" s="34">
        <f>F49*4.187*1000</f>
        <v>247033.00000000003</v>
      </c>
      <c r="I49" s="94">
        <f t="shared" si="8"/>
        <v>117.98208559666647</v>
      </c>
      <c r="J49" s="152">
        <f t="shared" si="9"/>
        <v>1966.3680932777745</v>
      </c>
      <c r="K49" s="152">
        <f t="shared" si="10"/>
        <v>32.772801554629574</v>
      </c>
      <c r="L49" s="153">
        <f t="shared" si="11"/>
        <v>73.308118302887081</v>
      </c>
      <c r="M49" s="285">
        <v>117.982</v>
      </c>
      <c r="N49" s="152">
        <v>1966.37</v>
      </c>
      <c r="O49" s="152">
        <v>32.772799999999997</v>
      </c>
      <c r="P49" s="285">
        <v>73.308099999999996</v>
      </c>
      <c r="Q49" s="155">
        <f t="shared" si="12"/>
        <v>7.2550562259531777E-7</v>
      </c>
      <c r="R49" s="156">
        <f t="shared" si="13"/>
        <v>-9.6966698753074661E-7</v>
      </c>
      <c r="S49" s="156">
        <f t="shared" si="14"/>
        <v>4.7436578605598436E-8</v>
      </c>
      <c r="T49" s="157">
        <f t="shared" si="15"/>
        <v>2.4967067098107891E-7</v>
      </c>
    </row>
    <row r="50" spans="3:23" ht="15.75" thickBot="1" x14ac:dyDescent="0.3">
      <c r="C50" s="106">
        <v>99</v>
      </c>
      <c r="D50" s="63" t="s">
        <v>35</v>
      </c>
      <c r="E50" s="43">
        <f>C50*31.1034768/1000</f>
        <v>3.0792442032</v>
      </c>
      <c r="F50" s="109">
        <v>20</v>
      </c>
      <c r="G50" s="63" t="s">
        <v>11</v>
      </c>
      <c r="H50" s="39">
        <f>F50*4.187*1000</f>
        <v>83740.000000000015</v>
      </c>
      <c r="I50" s="172">
        <f t="shared" si="8"/>
        <v>839.57966381733354</v>
      </c>
      <c r="J50" s="171">
        <f t="shared" si="9"/>
        <v>13992.994396955559</v>
      </c>
      <c r="K50" s="171">
        <f t="shared" si="10"/>
        <v>233.21657328259263</v>
      </c>
      <c r="L50" s="286">
        <f t="shared" si="11"/>
        <v>521.67246415889986</v>
      </c>
      <c r="M50" s="170">
        <v>839.58</v>
      </c>
      <c r="N50" s="171">
        <v>13993</v>
      </c>
      <c r="O50" s="171">
        <v>233.21700000000001</v>
      </c>
      <c r="P50" s="170">
        <v>521.67200000000003</v>
      </c>
      <c r="Q50" s="307">
        <f t="shared" si="12"/>
        <v>-4.0041782928953269E-7</v>
      </c>
      <c r="R50" s="341">
        <f t="shared" si="13"/>
        <v>-4.0041782925161812E-7</v>
      </c>
      <c r="S50" s="341">
        <f t="shared" si="14"/>
        <v>-1.8297044732829203E-6</v>
      </c>
      <c r="T50" s="342">
        <f t="shared" si="15"/>
        <v>8.8975158115631236E-7</v>
      </c>
    </row>
    <row r="51" spans="3:23" ht="15.75" thickTop="1" x14ac:dyDescent="0.25">
      <c r="C51" s="203">
        <v>612</v>
      </c>
      <c r="D51" s="204" t="s">
        <v>32</v>
      </c>
      <c r="E51" s="205">
        <f>C51/1000</f>
        <v>0.61199999999999999</v>
      </c>
      <c r="F51" s="366">
        <v>460</v>
      </c>
      <c r="G51" s="204" t="s">
        <v>12</v>
      </c>
      <c r="H51" s="205">
        <f>F51*3600*1000</f>
        <v>1656000000</v>
      </c>
      <c r="I51" s="367">
        <f t="shared" si="8"/>
        <v>264832.91069698136</v>
      </c>
      <c r="J51" s="508">
        <f t="shared" si="9"/>
        <v>4413881.8449496888</v>
      </c>
      <c r="K51" s="508">
        <f t="shared" si="10"/>
        <v>73564.697415828152</v>
      </c>
      <c r="L51" s="368">
        <f t="shared" si="11"/>
        <v>164553.81551943664</v>
      </c>
      <c r="M51" s="369">
        <v>264833</v>
      </c>
      <c r="N51" s="508">
        <v>4413882</v>
      </c>
      <c r="O51" s="508">
        <v>73564.7</v>
      </c>
      <c r="P51" s="369">
        <v>164554</v>
      </c>
      <c r="Q51" s="370">
        <f t="shared" si="12"/>
        <v>-3.3720513967328466E-7</v>
      </c>
      <c r="R51" s="424">
        <f t="shared" si="13"/>
        <v>-3.5127879876299894E-8</v>
      </c>
      <c r="S51" s="424">
        <f t="shared" si="14"/>
        <v>-3.5127879757613221E-8</v>
      </c>
      <c r="T51" s="518">
        <f t="shared" si="15"/>
        <v>-1.1210956292734026E-6</v>
      </c>
    </row>
    <row r="52" spans="3:23" x14ac:dyDescent="0.25">
      <c r="C52" s="213">
        <v>59</v>
      </c>
      <c r="D52" s="214" t="s">
        <v>30</v>
      </c>
      <c r="E52" s="215">
        <f>C52</f>
        <v>59</v>
      </c>
      <c r="F52" s="354">
        <v>20</v>
      </c>
      <c r="G52" s="214" t="s">
        <v>12</v>
      </c>
      <c r="H52" s="216">
        <f>F52*3600*1000</f>
        <v>72000000</v>
      </c>
      <c r="I52" s="371">
        <f t="shared" si="8"/>
        <v>5624.1609543715913</v>
      </c>
      <c r="J52" s="509">
        <f t="shared" si="9"/>
        <v>93736.015906193192</v>
      </c>
      <c r="K52" s="509">
        <f t="shared" si="10"/>
        <v>1562.2669317698865</v>
      </c>
      <c r="L52" s="372">
        <f t="shared" si="11"/>
        <v>3494.5699977454897</v>
      </c>
      <c r="M52" s="373">
        <v>5624.16</v>
      </c>
      <c r="N52" s="505">
        <v>93736</v>
      </c>
      <c r="O52" s="509">
        <v>1562.27</v>
      </c>
      <c r="P52" s="373">
        <v>3494.57</v>
      </c>
      <c r="Q52" s="221">
        <f t="shared" si="12"/>
        <v>1.6969137248667809E-7</v>
      </c>
      <c r="R52" s="222">
        <f t="shared" si="13"/>
        <v>1.6969137249961506E-7</v>
      </c>
      <c r="S52" s="222">
        <f t="shared" si="14"/>
        <v>-1.9639602241577212E-6</v>
      </c>
      <c r="T52" s="223">
        <f t="shared" si="15"/>
        <v>-6.4514675414677107E-10</v>
      </c>
    </row>
    <row r="53" spans="3:23" x14ac:dyDescent="0.25">
      <c r="C53" s="213">
        <v>430</v>
      </c>
      <c r="D53" s="214" t="s">
        <v>33</v>
      </c>
      <c r="E53" s="215">
        <f>C53*0.45359237</f>
        <v>195.04471910000001</v>
      </c>
      <c r="F53" s="354">
        <v>12569</v>
      </c>
      <c r="G53" s="214" t="s">
        <v>12</v>
      </c>
      <c r="H53" s="216">
        <f>F53*3600*1000</f>
        <v>45248400000</v>
      </c>
      <c r="I53" s="224">
        <f t="shared" si="8"/>
        <v>77544.681052575266</v>
      </c>
      <c r="J53" s="505">
        <f t="shared" si="9"/>
        <v>1292411.3508762545</v>
      </c>
      <c r="K53" s="505">
        <f t="shared" si="10"/>
        <v>21540.189181270907</v>
      </c>
      <c r="L53" s="360">
        <f t="shared" si="11"/>
        <v>48182.354326193148</v>
      </c>
      <c r="M53" s="356">
        <v>77544.7</v>
      </c>
      <c r="N53" s="505">
        <v>1292411</v>
      </c>
      <c r="O53" s="505">
        <v>21540.2</v>
      </c>
      <c r="P53" s="356">
        <v>48182.400000000001</v>
      </c>
      <c r="Q53" s="221">
        <f t="shared" si="12"/>
        <v>-2.4434202931367698E-7</v>
      </c>
      <c r="R53" s="222">
        <f t="shared" si="13"/>
        <v>2.7148961068574593E-7</v>
      </c>
      <c r="S53" s="222">
        <f t="shared" si="14"/>
        <v>-5.0225784938094548E-7</v>
      </c>
      <c r="T53" s="223">
        <f t="shared" si="15"/>
        <v>-9.4793638650554528E-7</v>
      </c>
    </row>
    <row r="54" spans="3:23" x14ac:dyDescent="0.25">
      <c r="C54" s="213">
        <v>11569</v>
      </c>
      <c r="D54" s="214" t="s">
        <v>34</v>
      </c>
      <c r="E54" s="215">
        <f>C54*1000</f>
        <v>11569000</v>
      </c>
      <c r="F54" s="354">
        <v>569</v>
      </c>
      <c r="G54" s="214" t="s">
        <v>12</v>
      </c>
      <c r="H54" s="216">
        <f>F54*3600*1000</f>
        <v>2048400000</v>
      </c>
      <c r="I54" s="374">
        <f t="shared" si="8"/>
        <v>67.744957030340004</v>
      </c>
      <c r="J54" s="510">
        <f t="shared" si="9"/>
        <v>1129.0826171723334</v>
      </c>
      <c r="K54" s="274">
        <f t="shared" si="10"/>
        <v>18.818043619538891</v>
      </c>
      <c r="L54" s="216">
        <f t="shared" si="11"/>
        <v>42.093300006424762</v>
      </c>
      <c r="M54" s="373">
        <v>67.745000000000005</v>
      </c>
      <c r="N54" s="509">
        <v>1129.08</v>
      </c>
      <c r="O54" s="509">
        <v>18.818000000000001</v>
      </c>
      <c r="P54" s="373">
        <v>42.093299999999999</v>
      </c>
      <c r="Q54" s="221">
        <f t="shared" si="12"/>
        <v>-6.3428573704152393E-7</v>
      </c>
      <c r="R54" s="222">
        <f t="shared" si="13"/>
        <v>2.3179635339568777E-6</v>
      </c>
      <c r="S54" s="222">
        <f t="shared" si="14"/>
        <v>2.3179635338939465E-6</v>
      </c>
      <c r="T54" s="223">
        <f t="shared" si="15"/>
        <v>1.526314863149003E-10</v>
      </c>
    </row>
    <row r="55" spans="3:23" ht="15.75" thickBot="1" x14ac:dyDescent="0.3">
      <c r="C55" s="227">
        <v>678</v>
      </c>
      <c r="D55" s="228" t="s">
        <v>35</v>
      </c>
      <c r="E55" s="361">
        <f>C55*31.1034768/1000</f>
        <v>21.0881572704</v>
      </c>
      <c r="F55" s="362">
        <v>34</v>
      </c>
      <c r="G55" s="228" t="s">
        <v>12</v>
      </c>
      <c r="H55" s="230">
        <f>F55*3600*1000</f>
        <v>122400000</v>
      </c>
      <c r="I55" s="375">
        <f t="shared" si="8"/>
        <v>12265.602655790583</v>
      </c>
      <c r="J55" s="506">
        <f t="shared" si="9"/>
        <v>204426.71092984304</v>
      </c>
      <c r="K55" s="423">
        <f t="shared" si="10"/>
        <v>3407.1118488307175</v>
      </c>
      <c r="L55" s="230">
        <f t="shared" si="11"/>
        <v>7621.2269515288817</v>
      </c>
      <c r="M55" s="229">
        <v>12265.6</v>
      </c>
      <c r="N55" s="511">
        <v>204427</v>
      </c>
      <c r="O55" s="511">
        <v>3407.11</v>
      </c>
      <c r="P55" s="376">
        <v>7621.23</v>
      </c>
      <c r="Q55" s="234">
        <f t="shared" si="12"/>
        <v>2.1652344826981369E-7</v>
      </c>
      <c r="R55" s="235">
        <f t="shared" si="13"/>
        <v>-1.4140527705064155E-6</v>
      </c>
      <c r="S55" s="235">
        <f t="shared" si="14"/>
        <v>5.4263869205531269E-7</v>
      </c>
      <c r="T55" s="236">
        <f t="shared" si="15"/>
        <v>-3.9999741999868762E-7</v>
      </c>
    </row>
    <row r="56" spans="3:23" ht="15.75" thickTop="1" x14ac:dyDescent="0.25">
      <c r="D56" s="491"/>
    </row>
    <row r="57" spans="3:23" ht="15.75" thickBot="1" x14ac:dyDescent="0.3"/>
    <row r="58" spans="3:23" ht="15.75" thickTop="1" x14ac:dyDescent="0.25">
      <c r="C58" s="2488" t="s">
        <v>0</v>
      </c>
      <c r="D58" s="2489"/>
      <c r="E58" s="2489"/>
      <c r="F58" s="2489"/>
      <c r="G58" s="2489"/>
      <c r="H58" s="2495"/>
      <c r="I58" s="2484" t="s">
        <v>158</v>
      </c>
      <c r="J58" s="2484"/>
      <c r="K58" s="2484"/>
      <c r="L58" s="2484"/>
      <c r="M58" s="2484"/>
      <c r="N58" s="2488" t="s">
        <v>17</v>
      </c>
      <c r="O58" s="2489"/>
      <c r="P58" s="2489"/>
      <c r="Q58" s="2489"/>
      <c r="R58" s="2489"/>
      <c r="S58" s="2483" t="s">
        <v>8</v>
      </c>
      <c r="T58" s="2484"/>
      <c r="U58" s="2484"/>
      <c r="V58" s="2484"/>
      <c r="W58" s="2485"/>
    </row>
    <row r="59" spans="3:23" ht="15.75" thickBot="1" x14ac:dyDescent="0.3">
      <c r="C59" s="2486" t="s">
        <v>29</v>
      </c>
      <c r="D59" s="2487"/>
      <c r="E59" s="2496"/>
      <c r="F59" s="2486" t="s">
        <v>27</v>
      </c>
      <c r="G59" s="2487"/>
      <c r="H59" s="2496"/>
      <c r="I59" s="2480" t="s">
        <v>28</v>
      </c>
      <c r="J59" s="2481"/>
      <c r="K59" s="2481"/>
      <c r="L59" s="2481"/>
      <c r="M59" s="2481"/>
      <c r="N59" s="2486" t="s">
        <v>28</v>
      </c>
      <c r="O59" s="2487"/>
      <c r="P59" s="2487"/>
      <c r="Q59" s="2487"/>
      <c r="R59" s="2487"/>
      <c r="S59" s="2480" t="s">
        <v>28</v>
      </c>
      <c r="T59" s="2481"/>
      <c r="U59" s="2481"/>
      <c r="V59" s="2481"/>
      <c r="W59" s="2482"/>
    </row>
    <row r="60" spans="3:23" ht="15.75" thickBot="1" x14ac:dyDescent="0.3">
      <c r="C60" s="14" t="s">
        <v>3</v>
      </c>
      <c r="D60" s="66" t="s">
        <v>4</v>
      </c>
      <c r="E60" s="52" t="s">
        <v>31</v>
      </c>
      <c r="F60" s="14" t="s">
        <v>3</v>
      </c>
      <c r="G60" s="66" t="s">
        <v>4</v>
      </c>
      <c r="H60" s="52" t="s">
        <v>10</v>
      </c>
      <c r="I60" s="13" t="s">
        <v>32</v>
      </c>
      <c r="J60" s="87" t="s">
        <v>30</v>
      </c>
      <c r="K60" s="87" t="s">
        <v>33</v>
      </c>
      <c r="L60" s="87" t="s">
        <v>34</v>
      </c>
      <c r="M60" s="54" t="s">
        <v>35</v>
      </c>
      <c r="N60" s="14" t="s">
        <v>32</v>
      </c>
      <c r="O60" s="83" t="s">
        <v>30</v>
      </c>
      <c r="P60" s="83" t="s">
        <v>33</v>
      </c>
      <c r="Q60" s="83" t="s">
        <v>34</v>
      </c>
      <c r="R60" s="52" t="s">
        <v>35</v>
      </c>
      <c r="S60" s="13" t="s">
        <v>32</v>
      </c>
      <c r="T60" s="87" t="s">
        <v>30</v>
      </c>
      <c r="U60" s="87" t="s">
        <v>33</v>
      </c>
      <c r="V60" s="87" t="s">
        <v>34</v>
      </c>
      <c r="W60" s="54" t="s">
        <v>35</v>
      </c>
    </row>
    <row r="61" spans="3:23" ht="15.75" thickTop="1" x14ac:dyDescent="0.25">
      <c r="C61" s="876">
        <v>22</v>
      </c>
      <c r="D61" s="877" t="s">
        <v>36</v>
      </c>
      <c r="E61" s="878">
        <f>C61*1000/3600</f>
        <v>6.1111111111111107</v>
      </c>
      <c r="F61" s="876">
        <v>300</v>
      </c>
      <c r="G61" s="877" t="s">
        <v>25</v>
      </c>
      <c r="H61" s="878">
        <f>F61*1000</f>
        <v>300000</v>
      </c>
      <c r="I61" s="948">
        <f>J61*1000</f>
        <v>16066115.70247934</v>
      </c>
      <c r="J61" s="883">
        <f>2*H61/E61^2</f>
        <v>16066.115702479339</v>
      </c>
      <c r="K61" s="883">
        <f>J61/0.45359237</f>
        <v>35419.722122925785</v>
      </c>
      <c r="L61" s="949">
        <f>J61/1000</f>
        <v>16.06611570247934</v>
      </c>
      <c r="M61" s="884">
        <f>J61*1000/31.1034768</f>
        <v>516537.61429266777</v>
      </c>
      <c r="N61" s="876">
        <v>16066116</v>
      </c>
      <c r="O61" s="883">
        <v>16066.1</v>
      </c>
      <c r="P61" s="883">
        <v>35419.699999999997</v>
      </c>
      <c r="Q61" s="950">
        <v>16.066099999999999</v>
      </c>
      <c r="R61" s="884">
        <v>516538</v>
      </c>
      <c r="S61" s="885">
        <f xml:space="preserve"> (I61-N61)/I61</f>
        <v>-1.8518518438033851E-8</v>
      </c>
      <c r="T61" s="886">
        <f xml:space="preserve"> (J61-O61)/J61</f>
        <v>9.7736625514571724E-7</v>
      </c>
      <c r="U61" s="886">
        <f xml:space="preserve"> (K61-P61)/K61</f>
        <v>6.2459343161755585E-7</v>
      </c>
      <c r="V61" s="886">
        <f xml:space="preserve"> (L61-Q61)/L61</f>
        <v>9.7736625532085274E-7</v>
      </c>
      <c r="W61" s="887">
        <f xml:space="preserve"> (M61-R61)/M61</f>
        <v>-7.4671683446897266E-7</v>
      </c>
    </row>
    <row r="62" spans="3:23" x14ac:dyDescent="0.25">
      <c r="C62" s="71">
        <v>230</v>
      </c>
      <c r="D62" s="59" t="s">
        <v>37</v>
      </c>
      <c r="E62" s="889">
        <f>C62/60</f>
        <v>3.8333333333333335</v>
      </c>
      <c r="F62" s="71">
        <v>560</v>
      </c>
      <c r="G62" s="59" t="s">
        <v>25</v>
      </c>
      <c r="H62" s="889">
        <f>F62*1000</f>
        <v>560000</v>
      </c>
      <c r="I62" s="888">
        <f t="shared" ref="I62:I76" si="16">J62*1000</f>
        <v>76219281.66351606</v>
      </c>
      <c r="J62" s="903">
        <f t="shared" ref="J62:J76" si="17">2*H62/(E62*E62)</f>
        <v>76219.281663516056</v>
      </c>
      <c r="K62" s="903">
        <f t="shared" ref="K62:K76" si="18">J62/0.45359237</f>
        <v>168034.75257645108</v>
      </c>
      <c r="L62" s="892">
        <f t="shared" ref="L62:L76" si="19">J62/1000</f>
        <v>76.219281663516057</v>
      </c>
      <c r="M62" s="896">
        <f t="shared" ref="M62:M76" si="20">J62*1000/31.1034768</f>
        <v>2450506.8084065784</v>
      </c>
      <c r="N62" s="71">
        <v>76219282</v>
      </c>
      <c r="O62" s="903">
        <v>76219.3</v>
      </c>
      <c r="P62" s="903">
        <v>168035</v>
      </c>
      <c r="Q62" s="951">
        <v>76.219300000000004</v>
      </c>
      <c r="R62" s="896">
        <v>2450507</v>
      </c>
      <c r="S62" s="897">
        <f t="shared" ref="S62:S76" si="21" xml:space="preserve"> (I62-N62)/I62</f>
        <v>-4.4146826516629928E-9</v>
      </c>
      <c r="T62" s="898">
        <f t="shared" ref="T62:T76" si="22" xml:space="preserve"> (J62-O62)/J62</f>
        <v>-2.4057539701985549E-7</v>
      </c>
      <c r="U62" s="898">
        <f t="shared" ref="U62:U76" si="23" xml:space="preserve"> (K62-P62)/K62</f>
        <v>-1.4724546269570505E-6</v>
      </c>
      <c r="V62" s="898">
        <f t="shared" ref="V62:V76" si="24" xml:space="preserve"> (L62-Q62)/L62</f>
        <v>-2.4057539702582178E-7</v>
      </c>
      <c r="W62" s="899">
        <f t="shared" ref="W62:W76" si="25" xml:space="preserve"> (M62-R62)/M62</f>
        <v>-7.8185223140715449E-8</v>
      </c>
    </row>
    <row r="63" spans="3:23" x14ac:dyDescent="0.25">
      <c r="C63" s="900">
        <v>0.49</v>
      </c>
      <c r="D63" s="59" t="s">
        <v>31</v>
      </c>
      <c r="E63" s="889">
        <f>C63</f>
        <v>0.49</v>
      </c>
      <c r="F63" s="71">
        <v>1698</v>
      </c>
      <c r="G63" s="59" t="s">
        <v>25</v>
      </c>
      <c r="H63" s="889">
        <f>F63*1000</f>
        <v>1698000</v>
      </c>
      <c r="I63" s="888">
        <f t="shared" si="16"/>
        <v>14144106622.240734</v>
      </c>
      <c r="J63" s="903">
        <f t="shared" si="17"/>
        <v>14144106.622240733</v>
      </c>
      <c r="K63" s="903">
        <f t="shared" si="18"/>
        <v>31182417.425232995</v>
      </c>
      <c r="L63" s="892">
        <f t="shared" si="19"/>
        <v>14144.106622240733</v>
      </c>
      <c r="M63" s="896">
        <f t="shared" si="20"/>
        <v>454743587.45131457</v>
      </c>
      <c r="N63" s="71">
        <v>14144106622</v>
      </c>
      <c r="O63" s="901">
        <v>14144107</v>
      </c>
      <c r="P63" s="901">
        <v>31182417</v>
      </c>
      <c r="Q63" s="903">
        <v>14144.1</v>
      </c>
      <c r="R63" s="896">
        <v>454743587</v>
      </c>
      <c r="S63" s="897">
        <f t="shared" si="21"/>
        <v>1.7020099379288996E-11</v>
      </c>
      <c r="T63" s="898">
        <f t="shared" si="22"/>
        <v>-2.6707891614074315E-8</v>
      </c>
      <c r="U63" s="898">
        <f t="shared" si="23"/>
        <v>1.3636947690828615E-8</v>
      </c>
      <c r="V63" s="898">
        <f t="shared" si="24"/>
        <v>4.6819787986534183E-7</v>
      </c>
      <c r="W63" s="899">
        <f t="shared" si="25"/>
        <v>9.9245944522067753E-10</v>
      </c>
    </row>
    <row r="64" spans="3:23" ht="15.75" thickBot="1" x14ac:dyDescent="0.3">
      <c r="C64" s="952">
        <v>6</v>
      </c>
      <c r="D64" s="953" t="s">
        <v>38</v>
      </c>
      <c r="E64" s="954">
        <f>C64*1609.4/3600</f>
        <v>2.6823333333333337</v>
      </c>
      <c r="F64" s="952">
        <v>625</v>
      </c>
      <c r="G64" s="953" t="s">
        <v>25</v>
      </c>
      <c r="H64" s="954">
        <f>F64*1000</f>
        <v>625000</v>
      </c>
      <c r="I64" s="955">
        <f t="shared" si="16"/>
        <v>173733880.37216231</v>
      </c>
      <c r="J64" s="956">
        <f t="shared" si="17"/>
        <v>173733.88037216233</v>
      </c>
      <c r="K64" s="956">
        <f t="shared" si="18"/>
        <v>383017.64285003807</v>
      </c>
      <c r="L64" s="957">
        <f t="shared" si="19"/>
        <v>173.73388037216233</v>
      </c>
      <c r="M64" s="958">
        <f t="shared" si="20"/>
        <v>5585673.9582297215</v>
      </c>
      <c r="N64" s="952">
        <v>173733880</v>
      </c>
      <c r="O64" s="956">
        <v>173734</v>
      </c>
      <c r="P64" s="956">
        <v>383018</v>
      </c>
      <c r="Q64" s="959">
        <v>173.73400000000001</v>
      </c>
      <c r="R64" s="958">
        <v>5585674</v>
      </c>
      <c r="S64" s="960">
        <f t="shared" si="21"/>
        <v>2.1421401022758889E-9</v>
      </c>
      <c r="T64" s="961">
        <f t="shared" si="22"/>
        <v>-6.885694224839816E-7</v>
      </c>
      <c r="U64" s="961">
        <f t="shared" si="23"/>
        <v>-9.3246347419094052E-7</v>
      </c>
      <c r="V64" s="961">
        <f t="shared" si="24"/>
        <v>-6.8856942250099521E-7</v>
      </c>
      <c r="W64" s="962">
        <f t="shared" si="25"/>
        <v>-7.478108960268956E-9</v>
      </c>
    </row>
    <row r="65" spans="3:23" ht="15.75" thickTop="1" x14ac:dyDescent="0.25">
      <c r="C65" s="1332">
        <v>24</v>
      </c>
      <c r="D65" s="1333" t="s">
        <v>36</v>
      </c>
      <c r="E65" s="1334">
        <f>C65*1000/3600</f>
        <v>6.666666666666667</v>
      </c>
      <c r="F65" s="1332">
        <v>152</v>
      </c>
      <c r="G65" s="1333" t="s">
        <v>10</v>
      </c>
      <c r="H65" s="1370">
        <f>F65</f>
        <v>152</v>
      </c>
      <c r="I65" s="1371">
        <f t="shared" si="16"/>
        <v>6839.9999999999991</v>
      </c>
      <c r="J65" s="1372">
        <f t="shared" si="17"/>
        <v>6.839999999999999</v>
      </c>
      <c r="K65" s="1372">
        <f t="shared" si="18"/>
        <v>15.079618733445624</v>
      </c>
      <c r="L65" s="1372">
        <f t="shared" si="19"/>
        <v>6.8399999999999989E-3</v>
      </c>
      <c r="M65" s="1373">
        <f t="shared" si="20"/>
        <v>219.91110652941535</v>
      </c>
      <c r="N65" s="1374">
        <v>6840</v>
      </c>
      <c r="O65" s="1372">
        <v>6.84</v>
      </c>
      <c r="P65" s="1372">
        <v>15.079599999999999</v>
      </c>
      <c r="Q65" s="1372">
        <v>6.8399999999999997E-3</v>
      </c>
      <c r="R65" s="1373">
        <v>219.911</v>
      </c>
      <c r="S65" s="1341">
        <f t="shared" si="21"/>
        <v>-1.3296706166270883E-16</v>
      </c>
      <c r="T65" s="1342">
        <f t="shared" si="22"/>
        <v>-1.2985064615498909E-16</v>
      </c>
      <c r="U65" s="1342">
        <f t="shared" si="23"/>
        <v>1.2423023390786922E-6</v>
      </c>
      <c r="V65" s="1342">
        <f t="shared" si="24"/>
        <v>-1.2680727163573154E-16</v>
      </c>
      <c r="W65" s="1343">
        <f t="shared" si="25"/>
        <v>4.844203506996275E-7</v>
      </c>
    </row>
    <row r="66" spans="3:23" x14ac:dyDescent="0.25">
      <c r="C66" s="1268">
        <v>489</v>
      </c>
      <c r="D66" s="1269" t="s">
        <v>37</v>
      </c>
      <c r="E66" s="1254">
        <f>C66/60</f>
        <v>8.15</v>
      </c>
      <c r="F66" s="1268">
        <v>675</v>
      </c>
      <c r="G66" s="1269" t="s">
        <v>10</v>
      </c>
      <c r="H66" s="1270">
        <f>F66</f>
        <v>675</v>
      </c>
      <c r="I66" s="1280">
        <f t="shared" si="16"/>
        <v>20324.43825510934</v>
      </c>
      <c r="J66" s="1323">
        <f t="shared" si="17"/>
        <v>20.324438255109339</v>
      </c>
      <c r="K66" s="1323">
        <f t="shared" si="18"/>
        <v>44.807716353582705</v>
      </c>
      <c r="L66" s="1323">
        <f t="shared" si="19"/>
        <v>2.032443825510934E-2</v>
      </c>
      <c r="M66" s="1324">
        <f t="shared" si="20"/>
        <v>653.44586348974792</v>
      </c>
      <c r="N66" s="1322">
        <v>20324.400000000001</v>
      </c>
      <c r="O66" s="1323">
        <v>20.324400000000001</v>
      </c>
      <c r="P66" s="1323">
        <v>44.807699999999997</v>
      </c>
      <c r="Q66" s="1323">
        <v>2.0324399999999999E-2</v>
      </c>
      <c r="R66" s="1324">
        <v>653.44600000000003</v>
      </c>
      <c r="S66" s="1277">
        <f t="shared" si="21"/>
        <v>1.8822222222706165E-6</v>
      </c>
      <c r="T66" s="1278">
        <f t="shared" si="22"/>
        <v>1.8822222222286647E-6</v>
      </c>
      <c r="U66" s="1278">
        <f t="shared" si="23"/>
        <v>3.6497246544353193E-7</v>
      </c>
      <c r="V66" s="1278">
        <f t="shared" si="24"/>
        <v>1.882222222358399E-6</v>
      </c>
      <c r="W66" s="1279">
        <f t="shared" si="25"/>
        <v>-2.0890828105619857E-7</v>
      </c>
    </row>
    <row r="67" spans="3:23" x14ac:dyDescent="0.25">
      <c r="C67" s="1268">
        <v>5698</v>
      </c>
      <c r="D67" s="1269" t="s">
        <v>31</v>
      </c>
      <c r="E67" s="1270">
        <f>C67</f>
        <v>5698</v>
      </c>
      <c r="F67" s="1268">
        <v>68</v>
      </c>
      <c r="G67" s="1269" t="s">
        <v>10</v>
      </c>
      <c r="H67" s="1270">
        <f>F67</f>
        <v>68</v>
      </c>
      <c r="I67" s="1322">
        <f t="shared" si="16"/>
        <v>4.1888423776805664E-3</v>
      </c>
      <c r="J67" s="1323">
        <f t="shared" si="17"/>
        <v>4.1888423776805667E-6</v>
      </c>
      <c r="K67" s="1323">
        <f t="shared" si="18"/>
        <v>9.2348166651933902E-6</v>
      </c>
      <c r="L67" s="1323">
        <f t="shared" si="19"/>
        <v>4.1888423776805666E-9</v>
      </c>
      <c r="M67" s="1324">
        <f t="shared" si="20"/>
        <v>1.3467440970073695E-4</v>
      </c>
      <c r="N67" s="1322">
        <v>4.1888400000000001E-3</v>
      </c>
      <c r="O67" s="1323">
        <v>4.1888423776805701E-6</v>
      </c>
      <c r="P67" s="1323">
        <v>9.2348166651933902E-6</v>
      </c>
      <c r="Q67" s="1323">
        <v>4.1888423776805699E-9</v>
      </c>
      <c r="R67" s="1324">
        <v>1.3467399999999999E-4</v>
      </c>
      <c r="S67" s="1277">
        <f t="shared" si="21"/>
        <v>5.6762235289453228E-7</v>
      </c>
      <c r="T67" s="1278">
        <f t="shared" si="22"/>
        <v>-8.0884680862431198E-16</v>
      </c>
      <c r="U67" s="1278">
        <f t="shared" si="23"/>
        <v>0</v>
      </c>
      <c r="V67" s="1278">
        <f t="shared" si="24"/>
        <v>-7.8988946154717968E-16</v>
      </c>
      <c r="W67" s="1279">
        <f t="shared" si="25"/>
        <v>3.0421572878603428E-6</v>
      </c>
    </row>
    <row r="68" spans="3:23" ht="15.75" thickBot="1" x14ac:dyDescent="0.3">
      <c r="C68" s="1362">
        <v>0.2</v>
      </c>
      <c r="D68" s="1348" t="s">
        <v>38</v>
      </c>
      <c r="E68" s="1351">
        <f>C68*1609.4/3600</f>
        <v>8.9411111111111122E-2</v>
      </c>
      <c r="F68" s="1347">
        <v>48</v>
      </c>
      <c r="G68" s="1348" t="s">
        <v>10</v>
      </c>
      <c r="H68" s="1375">
        <f>F68</f>
        <v>48</v>
      </c>
      <c r="I68" s="1376">
        <f t="shared" si="16"/>
        <v>12008485.811323859</v>
      </c>
      <c r="J68" s="1377">
        <f t="shared" si="17"/>
        <v>12008.485811323859</v>
      </c>
      <c r="K68" s="1377">
        <f t="shared" si="18"/>
        <v>26474.179473794629</v>
      </c>
      <c r="L68" s="1364">
        <f t="shared" si="19"/>
        <v>12.008485811323858</v>
      </c>
      <c r="M68" s="1378">
        <f t="shared" si="20"/>
        <v>386081.78399283835</v>
      </c>
      <c r="N68" s="1362">
        <v>12008486</v>
      </c>
      <c r="O68" s="1377">
        <v>12008.5</v>
      </c>
      <c r="P68" s="1377">
        <v>26474.2</v>
      </c>
      <c r="Q68" s="1379">
        <v>12.0085</v>
      </c>
      <c r="R68" s="1380">
        <v>386082</v>
      </c>
      <c r="S68" s="1319">
        <f t="shared" si="21"/>
        <v>-1.5711901081194636E-8</v>
      </c>
      <c r="T68" s="1320">
        <f t="shared" si="22"/>
        <v>-1.1815541413075325E-6</v>
      </c>
      <c r="U68" s="1320">
        <f t="shared" si="23"/>
        <v>-7.753292369927012E-7</v>
      </c>
      <c r="V68" s="1320">
        <f t="shared" si="24"/>
        <v>-1.1815541413371177E-6</v>
      </c>
      <c r="W68" s="1321">
        <f t="shared" si="25"/>
        <v>-5.5948550438908081E-7</v>
      </c>
    </row>
    <row r="69" spans="3:23" ht="15.75" thickTop="1" x14ac:dyDescent="0.25">
      <c r="C69" s="1926">
        <v>786</v>
      </c>
      <c r="D69" s="1927" t="s">
        <v>36</v>
      </c>
      <c r="E69" s="1928">
        <f>C69*1000/3600</f>
        <v>218.33333333333334</v>
      </c>
      <c r="F69" s="1926">
        <v>598</v>
      </c>
      <c r="G69" s="1927" t="s">
        <v>11</v>
      </c>
      <c r="H69" s="1968">
        <f>F69*4.187*1000</f>
        <v>2503826</v>
      </c>
      <c r="I69" s="2200">
        <f t="shared" si="16"/>
        <v>105049.51459705146</v>
      </c>
      <c r="J69" s="2276">
        <f t="shared" si="17"/>
        <v>105.04951459705146</v>
      </c>
      <c r="K69" s="2276">
        <f t="shared" si="18"/>
        <v>231.59453629489281</v>
      </c>
      <c r="L69" s="2276">
        <f t="shared" si="19"/>
        <v>0.10504951459705146</v>
      </c>
      <c r="M69" s="2128">
        <f t="shared" si="20"/>
        <v>3377.4203209671873</v>
      </c>
      <c r="N69" s="2200">
        <v>105050</v>
      </c>
      <c r="O69" s="2201">
        <v>105.05</v>
      </c>
      <c r="P69" s="2201">
        <v>231.595</v>
      </c>
      <c r="Q69" s="2201">
        <v>0.10505</v>
      </c>
      <c r="R69" s="2202">
        <v>3377.42</v>
      </c>
      <c r="S69" s="2203">
        <f t="shared" si="21"/>
        <v>-4.6207062489065602E-6</v>
      </c>
      <c r="T69" s="2204">
        <f t="shared" si="22"/>
        <v>-4.6207062488903268E-6</v>
      </c>
      <c r="U69" s="2204">
        <f t="shared" si="23"/>
        <v>-2.0022281812529597E-6</v>
      </c>
      <c r="V69" s="2204">
        <f t="shared" si="24"/>
        <v>-4.6207062489146341E-6</v>
      </c>
      <c r="W69" s="2205">
        <f t="shared" si="25"/>
        <v>9.5033237421747751E-8</v>
      </c>
    </row>
    <row r="70" spans="3:23" x14ac:dyDescent="0.25">
      <c r="C70" s="2206">
        <v>0.7</v>
      </c>
      <c r="D70" s="1939" t="s">
        <v>37</v>
      </c>
      <c r="E70" s="1940">
        <f>C70/60</f>
        <v>1.1666666666666665E-2</v>
      </c>
      <c r="F70" s="1938">
        <v>1269</v>
      </c>
      <c r="G70" s="1939" t="s">
        <v>11</v>
      </c>
      <c r="H70" s="1979">
        <f>F70*4.187*1000</f>
        <v>5313303.0000000009</v>
      </c>
      <c r="I70" s="1938">
        <f t="shared" si="16"/>
        <v>78073023673469.422</v>
      </c>
      <c r="J70" s="2199">
        <f t="shared" si="17"/>
        <v>78073023673.469421</v>
      </c>
      <c r="K70" s="2199">
        <f t="shared" si="18"/>
        <v>172121554146.66568</v>
      </c>
      <c r="L70" s="2199">
        <f t="shared" si="19"/>
        <v>78073023.673469424</v>
      </c>
      <c r="M70" s="2207">
        <f t="shared" si="20"/>
        <v>2510105997972.208</v>
      </c>
      <c r="N70" s="1938">
        <v>78073023673469</v>
      </c>
      <c r="O70" s="2208">
        <v>78073023673</v>
      </c>
      <c r="P70" s="2208">
        <v>172121554147</v>
      </c>
      <c r="Q70" s="2199">
        <v>78073024</v>
      </c>
      <c r="R70" s="2207">
        <v>2510105997972</v>
      </c>
      <c r="S70" s="2001">
        <f t="shared" si="21"/>
        <v>5.4035949954293941E-15</v>
      </c>
      <c r="T70" s="2132">
        <f t="shared" si="22"/>
        <v>6.0125939105682107E-12</v>
      </c>
      <c r="U70" s="2132">
        <f t="shared" si="23"/>
        <v>-1.9423486501551058E-12</v>
      </c>
      <c r="V70" s="2132">
        <f t="shared" si="24"/>
        <v>-4.1823738903456747E-9</v>
      </c>
      <c r="W70" s="2133">
        <f t="shared" si="25"/>
        <v>8.2868138902516209E-14</v>
      </c>
    </row>
    <row r="71" spans="3:23" x14ac:dyDescent="0.25">
      <c r="C71" s="1938">
        <v>1268</v>
      </c>
      <c r="D71" s="1939" t="s">
        <v>31</v>
      </c>
      <c r="E71" s="1940">
        <f>C71</f>
        <v>1268</v>
      </c>
      <c r="F71" s="2206">
        <v>100.5</v>
      </c>
      <c r="G71" s="1939" t="s">
        <v>11</v>
      </c>
      <c r="H71" s="1979">
        <f>F71*4.187*1000</f>
        <v>420793.50000000006</v>
      </c>
      <c r="I71" s="2209">
        <f t="shared" si="16"/>
        <v>523.43229109653794</v>
      </c>
      <c r="J71" s="2210">
        <f t="shared" si="17"/>
        <v>0.52343229109653799</v>
      </c>
      <c r="K71" s="2210">
        <f t="shared" si="18"/>
        <v>1.1539706699575611</v>
      </c>
      <c r="L71" s="2210">
        <f t="shared" si="19"/>
        <v>5.2343229109653804E-4</v>
      </c>
      <c r="M71" s="2211">
        <f t="shared" si="20"/>
        <v>16.828738936881098</v>
      </c>
      <c r="N71" s="2209">
        <v>523.43200000000002</v>
      </c>
      <c r="O71" s="2210">
        <v>0.52343200000000001</v>
      </c>
      <c r="P71" s="2210">
        <v>1.1539699999999999</v>
      </c>
      <c r="Q71" s="2210">
        <v>5.23432E-4</v>
      </c>
      <c r="R71" s="2211">
        <v>16.828700000000001</v>
      </c>
      <c r="S71" s="2001">
        <f t="shared" si="21"/>
        <v>5.5613026340361601E-7</v>
      </c>
      <c r="T71" s="2132">
        <f t="shared" si="22"/>
        <v>5.5613026352578802E-7</v>
      </c>
      <c r="U71" s="2132">
        <f t="shared" si="23"/>
        <v>5.8056723506701464E-7</v>
      </c>
      <c r="V71" s="2132">
        <f t="shared" si="24"/>
        <v>5.5613026363349726E-7</v>
      </c>
      <c r="W71" s="2133">
        <f t="shared" si="25"/>
        <v>2.3137135374889454E-6</v>
      </c>
    </row>
    <row r="72" spans="3:23" ht="15.75" thickBot="1" x14ac:dyDescent="0.3">
      <c r="C72" s="1981">
        <v>9851</v>
      </c>
      <c r="D72" s="1945" t="s">
        <v>38</v>
      </c>
      <c r="E72" s="1948">
        <f>C72*1609.4/3600</f>
        <v>4403.9442777777776</v>
      </c>
      <c r="F72" s="1981">
        <v>46</v>
      </c>
      <c r="G72" s="1945" t="s">
        <v>11</v>
      </c>
      <c r="H72" s="1982">
        <f>F72*4.187*1000</f>
        <v>192602</v>
      </c>
      <c r="I72" s="2212">
        <f t="shared" si="16"/>
        <v>19.861276506501525</v>
      </c>
      <c r="J72" s="2275">
        <f t="shared" si="17"/>
        <v>1.9861276506501525E-2</v>
      </c>
      <c r="K72" s="2213">
        <f t="shared" si="18"/>
        <v>4.3786619485026886E-2</v>
      </c>
      <c r="L72" s="2213">
        <f t="shared" si="19"/>
        <v>1.9861276506501525E-5</v>
      </c>
      <c r="M72" s="2214">
        <f t="shared" si="20"/>
        <v>0.63855486748997548</v>
      </c>
      <c r="N72" s="2212">
        <v>19.8613</v>
      </c>
      <c r="O72" s="2213">
        <v>1.9861299999999998E-2</v>
      </c>
      <c r="P72" s="2213">
        <v>4.3786600000000002E-2</v>
      </c>
      <c r="Q72" s="2213">
        <v>1.9861276506501501E-5</v>
      </c>
      <c r="R72" s="2214">
        <v>0.63855499999999998</v>
      </c>
      <c r="S72" s="1935">
        <f t="shared" si="21"/>
        <v>-1.182879583139859E-6</v>
      </c>
      <c r="T72" s="1936">
        <f t="shared" si="22"/>
        <v>-1.1828795830588056E-6</v>
      </c>
      <c r="U72" s="1936">
        <f t="shared" si="23"/>
        <v>4.449995709376641E-7</v>
      </c>
      <c r="V72" s="1936">
        <f t="shared" si="24"/>
        <v>1.1941288121816717E-15</v>
      </c>
      <c r="W72" s="1937">
        <f t="shared" si="25"/>
        <v>-2.0751548732142066E-7</v>
      </c>
    </row>
    <row r="73" spans="3:23" ht="15.75" thickTop="1" x14ac:dyDescent="0.25">
      <c r="C73" s="377">
        <v>0.48</v>
      </c>
      <c r="D73" s="204" t="s">
        <v>36</v>
      </c>
      <c r="E73" s="205">
        <f>C73*1000/3600</f>
        <v>0.13333333333333333</v>
      </c>
      <c r="F73" s="203">
        <v>2658</v>
      </c>
      <c r="G73" s="204" t="s">
        <v>12</v>
      </c>
      <c r="H73" s="206">
        <f>F73*3600*1000</f>
        <v>9568800000</v>
      </c>
      <c r="I73" s="203">
        <f t="shared" si="16"/>
        <v>1076490000000000</v>
      </c>
      <c r="J73" s="848">
        <f t="shared" si="17"/>
        <v>1076490000000</v>
      </c>
      <c r="K73" s="508">
        <f t="shared" si="18"/>
        <v>2373254206193.9888</v>
      </c>
      <c r="L73" s="514">
        <f t="shared" si="19"/>
        <v>1076490000</v>
      </c>
      <c r="M73" s="378">
        <f t="shared" si="20"/>
        <v>34609957173662.336</v>
      </c>
      <c r="N73" s="203">
        <v>1076490000000000</v>
      </c>
      <c r="O73" s="514">
        <v>1076490000000</v>
      </c>
      <c r="P73" s="516">
        <v>2373254206194</v>
      </c>
      <c r="Q73" s="508">
        <v>1076490000</v>
      </c>
      <c r="R73" s="368">
        <v>34609957173662</v>
      </c>
      <c r="S73" s="370">
        <f t="shared" si="21"/>
        <v>0</v>
      </c>
      <c r="T73" s="424">
        <f t="shared" si="22"/>
        <v>0</v>
      </c>
      <c r="U73" s="424">
        <f t="shared" si="23"/>
        <v>-4.7320968485758689E-15</v>
      </c>
      <c r="V73" s="424">
        <f t="shared" si="24"/>
        <v>0</v>
      </c>
      <c r="W73" s="518">
        <f t="shared" si="25"/>
        <v>9.7063830016999684E-15</v>
      </c>
    </row>
    <row r="74" spans="3:23" x14ac:dyDescent="0.25">
      <c r="C74" s="213">
        <v>2698</v>
      </c>
      <c r="D74" s="214" t="s">
        <v>37</v>
      </c>
      <c r="E74" s="215">
        <f>C74/60</f>
        <v>44.966666666666669</v>
      </c>
      <c r="F74" s="213">
        <v>42</v>
      </c>
      <c r="G74" s="214" t="s">
        <v>12</v>
      </c>
      <c r="H74" s="216">
        <f>F74*3600*1000</f>
        <v>151200000</v>
      </c>
      <c r="I74" s="224">
        <f t="shared" si="16"/>
        <v>149554813.96042752</v>
      </c>
      <c r="J74" s="505">
        <f t="shared" si="17"/>
        <v>149554.81396042753</v>
      </c>
      <c r="K74" s="505">
        <f t="shared" si="18"/>
        <v>329711.92606354365</v>
      </c>
      <c r="L74" s="510">
        <f t="shared" si="19"/>
        <v>149.55481396042754</v>
      </c>
      <c r="M74" s="360">
        <f t="shared" si="20"/>
        <v>4808298.9217600115</v>
      </c>
      <c r="N74" s="379">
        <v>149554814</v>
      </c>
      <c r="O74" s="515">
        <v>149555</v>
      </c>
      <c r="P74" s="515">
        <v>329712</v>
      </c>
      <c r="Q74" s="510">
        <v>149.55500000000001</v>
      </c>
      <c r="R74" s="360">
        <v>4808299</v>
      </c>
      <c r="S74" s="221">
        <f t="shared" si="21"/>
        <v>-2.6460182920737804E-10</v>
      </c>
      <c r="T74" s="222">
        <f t="shared" si="22"/>
        <v>-1.2439557613602454E-6</v>
      </c>
      <c r="U74" s="222">
        <f t="shared" si="23"/>
        <v>-2.2424562323686656E-7</v>
      </c>
      <c r="V74" s="222">
        <f t="shared" si="24"/>
        <v>-1.2439557613860912E-6</v>
      </c>
      <c r="W74" s="223">
        <f t="shared" si="25"/>
        <v>-1.6271864501095524E-8</v>
      </c>
    </row>
    <row r="75" spans="3:23" x14ac:dyDescent="0.25">
      <c r="C75" s="213">
        <v>48</v>
      </c>
      <c r="D75" s="214" t="s">
        <v>31</v>
      </c>
      <c r="E75" s="216">
        <f>C75</f>
        <v>48</v>
      </c>
      <c r="F75" s="213">
        <v>5962</v>
      </c>
      <c r="G75" s="214" t="s">
        <v>12</v>
      </c>
      <c r="H75" s="216">
        <f>F75*3600*1000</f>
        <v>21463200000</v>
      </c>
      <c r="I75" s="213">
        <f t="shared" si="16"/>
        <v>18631250000</v>
      </c>
      <c r="J75" s="505">
        <f t="shared" si="17"/>
        <v>18631250</v>
      </c>
      <c r="K75" s="505">
        <f t="shared" si="18"/>
        <v>41074875.22332</v>
      </c>
      <c r="L75" s="510">
        <f t="shared" si="19"/>
        <v>18631.25</v>
      </c>
      <c r="M75" s="360">
        <f t="shared" si="20"/>
        <v>599008597.00675011</v>
      </c>
      <c r="N75" s="379">
        <v>18631250000</v>
      </c>
      <c r="O75" s="515">
        <v>18631250</v>
      </c>
      <c r="P75" s="515">
        <v>41074875</v>
      </c>
      <c r="Q75" s="505">
        <v>18631.2</v>
      </c>
      <c r="R75" s="360">
        <v>599008597</v>
      </c>
      <c r="S75" s="221">
        <f t="shared" si="21"/>
        <v>0</v>
      </c>
      <c r="T75" s="222">
        <f t="shared" si="22"/>
        <v>0</v>
      </c>
      <c r="U75" s="222">
        <f t="shared" si="23"/>
        <v>5.4369002622520361E-9</v>
      </c>
      <c r="V75" s="222">
        <f t="shared" si="24"/>
        <v>2.683663200229314E-6</v>
      </c>
      <c r="W75" s="223">
        <f t="shared" si="25"/>
        <v>1.126879788579624E-11</v>
      </c>
    </row>
    <row r="76" spans="3:23" ht="15.75" thickBot="1" x14ac:dyDescent="0.3">
      <c r="C76" s="380">
        <v>76.5</v>
      </c>
      <c r="D76" s="228" t="s">
        <v>38</v>
      </c>
      <c r="E76" s="229">
        <f>C76*1609.4/3600</f>
        <v>34.199750000000002</v>
      </c>
      <c r="F76" s="227">
        <v>486</v>
      </c>
      <c r="G76" s="228" t="s">
        <v>12</v>
      </c>
      <c r="H76" s="230">
        <f>F76*3600*1000</f>
        <v>1749600000</v>
      </c>
      <c r="I76" s="375">
        <f t="shared" si="16"/>
        <v>2991733489.3263602</v>
      </c>
      <c r="J76" s="506">
        <f t="shared" si="17"/>
        <v>2991733.4893263602</v>
      </c>
      <c r="K76" s="506">
        <f t="shared" si="18"/>
        <v>6595643.3291114662</v>
      </c>
      <c r="L76" s="507">
        <f t="shared" si="19"/>
        <v>2991.7334893263601</v>
      </c>
      <c r="M76" s="381">
        <f t="shared" si="20"/>
        <v>96186465.21620889</v>
      </c>
      <c r="N76" s="380">
        <v>2991733489</v>
      </c>
      <c r="O76" s="517">
        <v>2991733</v>
      </c>
      <c r="P76" s="517">
        <v>6595643</v>
      </c>
      <c r="Q76" s="507">
        <v>2991.73</v>
      </c>
      <c r="R76" s="381">
        <v>96186465</v>
      </c>
      <c r="S76" s="234">
        <f t="shared" si="21"/>
        <v>1.0908733242511378E-10</v>
      </c>
      <c r="T76" s="235">
        <f t="shared" si="22"/>
        <v>1.6355947543976528E-7</v>
      </c>
      <c r="U76" s="235">
        <f t="shared" si="23"/>
        <v>4.9898311622104464E-8</v>
      </c>
      <c r="V76" s="235">
        <f t="shared" si="24"/>
        <v>1.1663225927432515E-6</v>
      </c>
      <c r="W76" s="236">
        <f t="shared" si="25"/>
        <v>2.24780991373844E-9</v>
      </c>
    </row>
    <row r="77" spans="3:23" ht="15.75" thickTop="1" x14ac:dyDescent="0.25">
      <c r="C77" s="25"/>
      <c r="D77" s="491"/>
      <c r="F77" s="25"/>
    </row>
  </sheetData>
  <mergeCells count="31">
    <mergeCell ref="C58:H58"/>
    <mergeCell ref="I58:M58"/>
    <mergeCell ref="N58:R58"/>
    <mergeCell ref="N59:R59"/>
    <mergeCell ref="S58:W58"/>
    <mergeCell ref="S59:W59"/>
    <mergeCell ref="C59:E59"/>
    <mergeCell ref="F59:H59"/>
    <mergeCell ref="I59:M59"/>
    <mergeCell ref="M8:P8"/>
    <mergeCell ref="Q8:T8"/>
    <mergeCell ref="C9:E9"/>
    <mergeCell ref="F9:H9"/>
    <mergeCell ref="I9:L9"/>
    <mergeCell ref="M9:P9"/>
    <mergeCell ref="Q9:T9"/>
    <mergeCell ref="C2:J2"/>
    <mergeCell ref="C4:E4"/>
    <mergeCell ref="H4:I4"/>
    <mergeCell ref="C33:H33"/>
    <mergeCell ref="I33:L33"/>
    <mergeCell ref="C8:H8"/>
    <mergeCell ref="I8:L8"/>
    <mergeCell ref="E6:G6"/>
    <mergeCell ref="Q33:T33"/>
    <mergeCell ref="C34:E34"/>
    <mergeCell ref="F34:H34"/>
    <mergeCell ref="I34:L34"/>
    <mergeCell ref="M34:P34"/>
    <mergeCell ref="Q34:T34"/>
    <mergeCell ref="M33:P33"/>
  </mergeCells>
  <conditionalFormatting sqref="Q11:T30 Q36:T55 S61:W76">
    <cfRule type="cellIs" dxfId="19" priority="2" operator="notBetween">
      <formula>-0.01</formula>
      <formula>0.01</formula>
    </cfRule>
    <cfRule type="cellIs" dxfId="18" priority="1" operator="notBetween">
      <formula>-0.001</formula>
      <formula>0.001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AF108"/>
  <sheetViews>
    <sheetView zoomScaleNormal="100" workbookViewId="0">
      <selection activeCell="B2" sqref="B2"/>
    </sheetView>
  </sheetViews>
  <sheetFormatPr defaultColWidth="18.7109375" defaultRowHeight="15" x14ac:dyDescent="0.25"/>
  <cols>
    <col min="1" max="2" width="5.7109375" style="5" customWidth="1"/>
    <col min="3" max="3" width="12.7109375" style="5" customWidth="1"/>
    <col min="4" max="4" width="10.7109375" style="5" customWidth="1"/>
    <col min="5" max="5" width="18.7109375" style="5"/>
    <col min="6" max="6" width="12.7109375" style="5" customWidth="1"/>
    <col min="7" max="7" width="10.7109375" style="5" customWidth="1"/>
    <col min="8" max="8" width="18.7109375" style="5"/>
    <col min="9" max="10" width="18.7109375" style="5" customWidth="1"/>
    <col min="11" max="11" width="19" style="5" bestFit="1" customWidth="1"/>
    <col min="12" max="12" width="18.7109375" style="5"/>
    <col min="13" max="13" width="20.140625" style="5" bestFit="1" customWidth="1"/>
    <col min="14" max="14" width="22.5703125" style="5" bestFit="1" customWidth="1"/>
    <col min="15" max="15" width="18.7109375" style="5"/>
    <col min="16" max="16" width="20.140625" style="5" bestFit="1" customWidth="1"/>
    <col min="17" max="16384" width="18.7109375" style="5"/>
  </cols>
  <sheetData>
    <row r="2" spans="3:20" ht="21" x14ac:dyDescent="0.35">
      <c r="C2" s="2490" t="s">
        <v>26</v>
      </c>
      <c r="D2" s="2491"/>
      <c r="E2" s="2491"/>
      <c r="F2" s="2491"/>
      <c r="G2" s="2491"/>
      <c r="H2" s="2491"/>
      <c r="I2" s="2491"/>
      <c r="J2" s="2491"/>
    </row>
    <row r="4" spans="3:20" x14ac:dyDescent="0.25">
      <c r="C4" s="2501" t="s">
        <v>22</v>
      </c>
      <c r="D4" s="2502"/>
      <c r="E4" s="2503"/>
      <c r="F4" s="20"/>
      <c r="G4" s="20"/>
      <c r="H4" s="2501" t="s">
        <v>23</v>
      </c>
      <c r="I4" s="2503"/>
    </row>
    <row r="5" spans="3:20" ht="15.75" thickBot="1" x14ac:dyDescent="0.3"/>
    <row r="6" spans="3:20" s="9" customFormat="1" ht="19.5" thickBot="1" x14ac:dyDescent="0.35">
      <c r="E6" s="2497" t="s">
        <v>123</v>
      </c>
      <c r="F6" s="2498"/>
      <c r="G6" s="2499"/>
    </row>
    <row r="7" spans="3:20" ht="15.75" thickBot="1" x14ac:dyDescent="0.3"/>
    <row r="8" spans="3:20" ht="15.75" thickTop="1" x14ac:dyDescent="0.25">
      <c r="C8" s="2488" t="s">
        <v>0</v>
      </c>
      <c r="D8" s="2489"/>
      <c r="E8" s="2489"/>
      <c r="F8" s="2489"/>
      <c r="G8" s="2489"/>
      <c r="H8" s="2495"/>
      <c r="I8" s="2483" t="s">
        <v>158</v>
      </c>
      <c r="J8" s="2484"/>
      <c r="K8" s="2484"/>
      <c r="L8" s="2485"/>
      <c r="M8" s="2489" t="s">
        <v>17</v>
      </c>
      <c r="N8" s="2489"/>
      <c r="O8" s="2489"/>
      <c r="P8" s="2495"/>
      <c r="Q8" s="2483" t="s">
        <v>8</v>
      </c>
      <c r="R8" s="2484"/>
      <c r="S8" s="2484"/>
      <c r="T8" s="2485"/>
    </row>
    <row r="9" spans="3:20" ht="15.75" thickBot="1" x14ac:dyDescent="0.3">
      <c r="C9" s="2486" t="s">
        <v>28</v>
      </c>
      <c r="D9" s="2487"/>
      <c r="E9" s="2487"/>
      <c r="F9" s="2500" t="s">
        <v>120</v>
      </c>
      <c r="G9" s="2487"/>
      <c r="H9" s="2496"/>
      <c r="I9" s="2480" t="s">
        <v>45</v>
      </c>
      <c r="J9" s="2481"/>
      <c r="K9" s="2481"/>
      <c r="L9" s="2482"/>
      <c r="M9" s="2486" t="s">
        <v>45</v>
      </c>
      <c r="N9" s="2487"/>
      <c r="O9" s="2487"/>
      <c r="P9" s="2496"/>
      <c r="Q9" s="2480" t="s">
        <v>45</v>
      </c>
      <c r="R9" s="2481"/>
      <c r="S9" s="2481"/>
      <c r="T9" s="2482"/>
    </row>
    <row r="10" spans="3:20" ht="15.75" thickBot="1" x14ac:dyDescent="0.3">
      <c r="C10" s="130" t="s">
        <v>3</v>
      </c>
      <c r="D10" s="569" t="s">
        <v>4</v>
      </c>
      <c r="E10" s="570" t="s">
        <v>30</v>
      </c>
      <c r="F10" s="571" t="s">
        <v>3</v>
      </c>
      <c r="G10" s="569" t="s">
        <v>4</v>
      </c>
      <c r="H10" s="572" t="s">
        <v>42</v>
      </c>
      <c r="I10" s="573" t="s">
        <v>25</v>
      </c>
      <c r="J10" s="574" t="s">
        <v>10</v>
      </c>
      <c r="K10" s="574" t="s">
        <v>11</v>
      </c>
      <c r="L10" s="575" t="s">
        <v>12</v>
      </c>
      <c r="M10" s="570" t="s">
        <v>25</v>
      </c>
      <c r="N10" s="78" t="s">
        <v>10</v>
      </c>
      <c r="O10" s="78" t="s">
        <v>11</v>
      </c>
      <c r="P10" s="572" t="s">
        <v>12</v>
      </c>
      <c r="Q10" s="573" t="s">
        <v>9</v>
      </c>
      <c r="R10" s="574" t="s">
        <v>10</v>
      </c>
      <c r="S10" s="574" t="s">
        <v>11</v>
      </c>
      <c r="T10" s="575" t="s">
        <v>12</v>
      </c>
    </row>
    <row r="11" spans="3:20" ht="15.75" thickTop="1" x14ac:dyDescent="0.25">
      <c r="C11" s="104">
        <v>20</v>
      </c>
      <c r="D11" s="58" t="s">
        <v>32</v>
      </c>
      <c r="E11" s="49">
        <f>C11/1000</f>
        <v>0.02</v>
      </c>
      <c r="F11" s="1012">
        <v>650</v>
      </c>
      <c r="G11" s="58" t="s">
        <v>39</v>
      </c>
      <c r="H11" s="1031">
        <f>F11/100</f>
        <v>6.5</v>
      </c>
      <c r="I11" s="1032">
        <f>J11/1000</f>
        <v>1.2748645000000001E-3</v>
      </c>
      <c r="J11" s="1033">
        <f t="shared" ref="J11:J16" si="0">E11*H11*9.80665</f>
        <v>1.2748645000000001</v>
      </c>
      <c r="K11" s="1033">
        <f>I11/4.187</f>
        <v>3.044816097444471E-4</v>
      </c>
      <c r="L11" s="1034">
        <f>I11/3600</f>
        <v>3.5412902777777781E-7</v>
      </c>
      <c r="M11" s="1035">
        <v>1.2748600000000001E-3</v>
      </c>
      <c r="N11" s="1036">
        <v>1.2748600000000001</v>
      </c>
      <c r="O11" s="1036">
        <v>3.0448200000000002E-4</v>
      </c>
      <c r="P11" s="1037">
        <v>3.5412902777777802E-7</v>
      </c>
      <c r="Q11" s="960">
        <f xml:space="preserve"> (I11-M11)/I11</f>
        <v>3.5297868910904987E-6</v>
      </c>
      <c r="R11" s="961">
        <f xml:space="preserve"> (J11-N11)/J11</f>
        <v>3.5297868910483169E-6</v>
      </c>
      <c r="S11" s="961">
        <f xml:space="preserve"> (K11-O11)/K11</f>
        <v>-1.2817048400536612E-6</v>
      </c>
      <c r="T11" s="962">
        <f xml:space="preserve"> (L11-P11)/L11</f>
        <v>-5.9796915870578423E-16</v>
      </c>
    </row>
    <row r="12" spans="3:20" x14ac:dyDescent="0.25">
      <c r="C12" s="71">
        <v>68</v>
      </c>
      <c r="D12" s="59" t="s">
        <v>30</v>
      </c>
      <c r="E12" s="32">
        <f>C12</f>
        <v>68</v>
      </c>
      <c r="F12" s="972">
        <v>240</v>
      </c>
      <c r="G12" s="59" t="s">
        <v>39</v>
      </c>
      <c r="H12" s="889">
        <f>F12/100</f>
        <v>2.4</v>
      </c>
      <c r="I12" s="1032">
        <f t="shared" ref="I12:I45" si="1">J12/1000</f>
        <v>1.6004452799999997</v>
      </c>
      <c r="J12" s="1033">
        <f t="shared" si="0"/>
        <v>1600.4452799999997</v>
      </c>
      <c r="K12" s="1033">
        <f t="shared" ref="K12:K45" si="2">I12/4.187</f>
        <v>0.38224152854072119</v>
      </c>
      <c r="L12" s="1034">
        <f t="shared" ref="L12:L45" si="3">I12/3600</f>
        <v>4.4456813333333326E-4</v>
      </c>
      <c r="M12" s="1038">
        <v>1.6004499999999999</v>
      </c>
      <c r="N12" s="1039">
        <v>1600.45</v>
      </c>
      <c r="O12" s="1039">
        <v>0.38224200000000003</v>
      </c>
      <c r="P12" s="1040">
        <v>4.44568E-4</v>
      </c>
      <c r="Q12" s="960">
        <f t="shared" ref="Q12:Q45" si="4" xml:space="preserve"> (I12-M12)/I12</f>
        <v>-2.9491792435291113E-6</v>
      </c>
      <c r="R12" s="961">
        <f t="shared" ref="R12:R45" si="5" xml:space="preserve"> (J12-N12)/J12</f>
        <v>-2.9491792436423223E-6</v>
      </c>
      <c r="S12" s="961">
        <f t="shared" ref="S12:S45" si="6" xml:space="preserve"> (K12-O12)/K12</f>
        <v>-1.2334067432153557E-6</v>
      </c>
      <c r="T12" s="962">
        <f t="shared" ref="T12:T45" si="7" xml:space="preserve"> (L12-P12)/L12</f>
        <v>2.999165330465519E-7</v>
      </c>
    </row>
    <row r="13" spans="3:20" x14ac:dyDescent="0.25">
      <c r="C13" s="71">
        <v>300</v>
      </c>
      <c r="D13" s="59" t="s">
        <v>33</v>
      </c>
      <c r="E13" s="32">
        <f>C13*0.45359237</f>
        <v>136.07771099999999</v>
      </c>
      <c r="F13" s="972">
        <v>217</v>
      </c>
      <c r="G13" s="59" t="s">
        <v>39</v>
      </c>
      <c r="H13" s="889">
        <f>F13/100</f>
        <v>2.17</v>
      </c>
      <c r="I13" s="1032">
        <f t="shared" si="1"/>
        <v>2.8957922715345847</v>
      </c>
      <c r="J13" s="1033">
        <f t="shared" si="0"/>
        <v>2895.7922715345849</v>
      </c>
      <c r="K13" s="1033">
        <f t="shared" si="2"/>
        <v>0.69161506365765091</v>
      </c>
      <c r="L13" s="1034">
        <f t="shared" si="3"/>
        <v>8.0438674209294019E-4</v>
      </c>
      <c r="M13" s="1038">
        <v>2.8957899999999999</v>
      </c>
      <c r="N13" s="1039">
        <v>2895.79</v>
      </c>
      <c r="O13" s="1039">
        <v>0.69161499999999998</v>
      </c>
      <c r="P13" s="1040">
        <v>8.0438700000000005E-4</v>
      </c>
      <c r="Q13" s="960">
        <f t="shared" si="4"/>
        <v>7.8442594353314354E-7</v>
      </c>
      <c r="R13" s="961">
        <f t="shared" si="5"/>
        <v>7.8442594354418515E-7</v>
      </c>
      <c r="S13" s="961">
        <f t="shared" si="6"/>
        <v>9.2042024925900839E-8</v>
      </c>
      <c r="T13" s="962">
        <f t="shared" si="7"/>
        <v>-3.2062569702076939E-7</v>
      </c>
    </row>
    <row r="14" spans="3:20" x14ac:dyDescent="0.25">
      <c r="C14" s="71">
        <v>7</v>
      </c>
      <c r="D14" s="59" t="s">
        <v>34</v>
      </c>
      <c r="E14" s="32">
        <f>C14*1000</f>
        <v>7000</v>
      </c>
      <c r="F14" s="972">
        <v>1298</v>
      </c>
      <c r="G14" s="59" t="s">
        <v>39</v>
      </c>
      <c r="H14" s="889">
        <f>F14/100</f>
        <v>12.98</v>
      </c>
      <c r="I14" s="1032">
        <f t="shared" si="1"/>
        <v>891.03221899999994</v>
      </c>
      <c r="J14" s="1041">
        <f t="shared" si="0"/>
        <v>891032.21899999992</v>
      </c>
      <c r="K14" s="1033">
        <f t="shared" si="2"/>
        <v>212.80922354908046</v>
      </c>
      <c r="L14" s="1034">
        <f t="shared" si="3"/>
        <v>0.2475089497222222</v>
      </c>
      <c r="M14" s="1042">
        <v>891.03200000000004</v>
      </c>
      <c r="N14" s="1043">
        <v>891032</v>
      </c>
      <c r="O14" s="1043">
        <v>212.809</v>
      </c>
      <c r="P14" s="1044">
        <v>0.24750900000000001</v>
      </c>
      <c r="Q14" s="960">
        <f t="shared" si="4"/>
        <v>2.4578235806961938E-7</v>
      </c>
      <c r="R14" s="961">
        <f t="shared" si="5"/>
        <v>2.4578235809513742E-7</v>
      </c>
      <c r="S14" s="961">
        <f t="shared" si="6"/>
        <v>1.0504670649665195E-6</v>
      </c>
      <c r="T14" s="962">
        <f t="shared" si="7"/>
        <v>-2.0313519110571737E-7</v>
      </c>
    </row>
    <row r="15" spans="3:20" ht="15.75" thickBot="1" x14ac:dyDescent="0.3">
      <c r="C15" s="952">
        <v>3694</v>
      </c>
      <c r="D15" s="953" t="s">
        <v>35</v>
      </c>
      <c r="E15" s="975">
        <f>C15*31.1034768/1000</f>
        <v>114.89624329919999</v>
      </c>
      <c r="F15" s="976">
        <v>4256</v>
      </c>
      <c r="G15" s="953" t="s">
        <v>39</v>
      </c>
      <c r="H15" s="954">
        <f>F15/100</f>
        <v>42.56</v>
      </c>
      <c r="I15" s="1045">
        <f t="shared" si="1"/>
        <v>47.954362719540242</v>
      </c>
      <c r="J15" s="1046">
        <f t="shared" si="0"/>
        <v>47954.362719540244</v>
      </c>
      <c r="K15" s="1046">
        <f t="shared" si="2"/>
        <v>11.453155653102517</v>
      </c>
      <c r="L15" s="1047">
        <f t="shared" si="3"/>
        <v>1.3320656310983401E-2</v>
      </c>
      <c r="M15" s="1048">
        <v>47.9544</v>
      </c>
      <c r="N15" s="1049">
        <v>47954.400000000001</v>
      </c>
      <c r="O15" s="1049">
        <v>11.453200000000001</v>
      </c>
      <c r="P15" s="1050">
        <v>1.33207E-2</v>
      </c>
      <c r="Q15" s="980">
        <f t="shared" si="4"/>
        <v>-7.7741539337132813E-7</v>
      </c>
      <c r="R15" s="981">
        <f t="shared" si="5"/>
        <v>-7.7741539336777207E-7</v>
      </c>
      <c r="S15" s="981">
        <f t="shared" si="6"/>
        <v>-3.8720243422162364E-6</v>
      </c>
      <c r="T15" s="982">
        <f t="shared" si="7"/>
        <v>-3.279794597123495E-6</v>
      </c>
    </row>
    <row r="16" spans="3:20" ht="15.75" thickTop="1" x14ac:dyDescent="0.25">
      <c r="C16" s="1332">
        <v>540</v>
      </c>
      <c r="D16" s="1333" t="s">
        <v>32</v>
      </c>
      <c r="E16" s="1334">
        <f>C16/1000</f>
        <v>0.54</v>
      </c>
      <c r="F16" s="1335">
        <v>658</v>
      </c>
      <c r="G16" s="1333" t="s">
        <v>40</v>
      </c>
      <c r="H16" s="1334">
        <f>F16*0.3048</f>
        <v>200.55840000000001</v>
      </c>
      <c r="I16" s="1336">
        <f t="shared" si="1"/>
        <v>1.0620752580144002</v>
      </c>
      <c r="J16" s="1337">
        <f t="shared" si="0"/>
        <v>1062.0752580144001</v>
      </c>
      <c r="K16" s="1337">
        <f t="shared" si="2"/>
        <v>0.25366020014673996</v>
      </c>
      <c r="L16" s="1338">
        <f t="shared" si="3"/>
        <v>2.9502090500400002E-4</v>
      </c>
      <c r="M16" s="1381">
        <v>1.0620799999999999</v>
      </c>
      <c r="N16" s="1382">
        <v>1062.08</v>
      </c>
      <c r="O16" s="1382">
        <v>0.25366</v>
      </c>
      <c r="P16" s="1381">
        <v>2.9502100000000002E-4</v>
      </c>
      <c r="Q16" s="1265">
        <f t="shared" si="4"/>
        <v>-4.4648301181675442E-6</v>
      </c>
      <c r="R16" s="1266">
        <f t="shared" si="5"/>
        <v>-4.4648301182411361E-6</v>
      </c>
      <c r="S16" s="1266">
        <f t="shared" si="6"/>
        <v>7.8903485782747846E-7</v>
      </c>
      <c r="T16" s="1267">
        <f t="shared" si="7"/>
        <v>-3.2199752081058946E-7</v>
      </c>
    </row>
    <row r="17" spans="3:20" x14ac:dyDescent="0.25">
      <c r="C17" s="1268">
        <v>650</v>
      </c>
      <c r="D17" s="1269" t="s">
        <v>30</v>
      </c>
      <c r="E17" s="1254">
        <f>C17</f>
        <v>650</v>
      </c>
      <c r="F17" s="1344">
        <v>54</v>
      </c>
      <c r="G17" s="1269" t="s">
        <v>40</v>
      </c>
      <c r="H17" s="1270">
        <f>F17*0.3048</f>
        <v>16.459199999999999</v>
      </c>
      <c r="I17" s="1301">
        <f t="shared" si="1"/>
        <v>104.91624889199998</v>
      </c>
      <c r="J17" s="1318">
        <f t="shared" ref="J17:J45" si="8">E17*H17*9.80665</f>
        <v>104916.24889199999</v>
      </c>
      <c r="K17" s="1302">
        <f t="shared" si="2"/>
        <v>25.057618555529015</v>
      </c>
      <c r="L17" s="1303">
        <f t="shared" si="3"/>
        <v>2.9143402469999996E-2</v>
      </c>
      <c r="M17" s="1383">
        <v>104.916</v>
      </c>
      <c r="N17" s="1384">
        <v>104916</v>
      </c>
      <c r="O17" s="1384">
        <v>25.057600000000001</v>
      </c>
      <c r="P17" s="1383">
        <v>2.91434E-2</v>
      </c>
      <c r="Q17" s="1319">
        <f t="shared" si="4"/>
        <v>2.3722922103694792E-6</v>
      </c>
      <c r="R17" s="1320">
        <f t="shared" si="5"/>
        <v>2.3722922103792315E-6</v>
      </c>
      <c r="S17" s="1320">
        <f t="shared" si="6"/>
        <v>7.4051446559587709E-7</v>
      </c>
      <c r="T17" s="1321">
        <f t="shared" si="7"/>
        <v>8.4753315908960832E-8</v>
      </c>
    </row>
    <row r="18" spans="3:20" x14ac:dyDescent="0.25">
      <c r="C18" s="1268">
        <v>965</v>
      </c>
      <c r="D18" s="1269" t="s">
        <v>33</v>
      </c>
      <c r="E18" s="1254">
        <f>C18*0.45359237</f>
        <v>437.71663705000003</v>
      </c>
      <c r="F18" s="1344">
        <v>239</v>
      </c>
      <c r="G18" s="1269" t="s">
        <v>40</v>
      </c>
      <c r="H18" s="1270">
        <f>F18*0.3048</f>
        <v>72.847200000000001</v>
      </c>
      <c r="I18" s="1301">
        <f t="shared" si="1"/>
        <v>312.69907251341249</v>
      </c>
      <c r="J18" s="1316">
        <f t="shared" si="8"/>
        <v>312699.07251341251</v>
      </c>
      <c r="K18" s="1302">
        <f t="shared" si="2"/>
        <v>74.683322788013484</v>
      </c>
      <c r="L18" s="1303">
        <f t="shared" si="3"/>
        <v>8.6860853475947908E-2</v>
      </c>
      <c r="M18" s="1383">
        <v>312.69900000000001</v>
      </c>
      <c r="N18" s="1384">
        <v>312699</v>
      </c>
      <c r="O18" s="1384">
        <v>74.683300000000003</v>
      </c>
      <c r="P18" s="1383">
        <v>8.6860900000000005E-2</v>
      </c>
      <c r="Q18" s="1319">
        <f t="shared" si="4"/>
        <v>2.3189519525444824E-7</v>
      </c>
      <c r="R18" s="1320">
        <f t="shared" si="5"/>
        <v>2.3189519536060958E-7</v>
      </c>
      <c r="S18" s="1320">
        <f t="shared" si="6"/>
        <v>3.0512854317192285E-7</v>
      </c>
      <c r="T18" s="1321">
        <f t="shared" si="7"/>
        <v>-5.3561587568112947E-7</v>
      </c>
    </row>
    <row r="19" spans="3:20" x14ac:dyDescent="0.25">
      <c r="C19" s="1268">
        <v>36</v>
      </c>
      <c r="D19" s="1269" t="s">
        <v>34</v>
      </c>
      <c r="E19" s="1254">
        <f>C19*1000</f>
        <v>36000</v>
      </c>
      <c r="F19" s="1344">
        <v>57</v>
      </c>
      <c r="G19" s="1269" t="s">
        <v>40</v>
      </c>
      <c r="H19" s="1270">
        <f>F19*0.3048</f>
        <v>17.3736</v>
      </c>
      <c r="I19" s="1301">
        <f t="shared" si="1"/>
        <v>6133.5653198399987</v>
      </c>
      <c r="J19" s="1385">
        <f t="shared" si="8"/>
        <v>6133565.3198399991</v>
      </c>
      <c r="K19" s="1302">
        <f t="shared" si="2"/>
        <v>1464.9069309386191</v>
      </c>
      <c r="L19" s="1303">
        <f t="shared" si="3"/>
        <v>1.7037681443999997</v>
      </c>
      <c r="M19" s="1383">
        <v>6133.57</v>
      </c>
      <c r="N19" s="1386">
        <v>6133565</v>
      </c>
      <c r="O19" s="1384">
        <v>1464.91</v>
      </c>
      <c r="P19" s="1383">
        <v>1.70377</v>
      </c>
      <c r="Q19" s="1319">
        <f t="shared" si="4"/>
        <v>-7.6304070422226705E-7</v>
      </c>
      <c r="R19" s="1320">
        <f t="shared" si="5"/>
        <v>5.2145853578037331E-8</v>
      </c>
      <c r="S19" s="1320">
        <f t="shared" si="6"/>
        <v>-2.095055539820117E-6</v>
      </c>
      <c r="T19" s="1321">
        <f t="shared" si="7"/>
        <v>-1.0891153273532558E-6</v>
      </c>
    </row>
    <row r="20" spans="3:20" ht="15.75" thickBot="1" x14ac:dyDescent="0.3">
      <c r="C20" s="1347">
        <v>6</v>
      </c>
      <c r="D20" s="1348" t="s">
        <v>35</v>
      </c>
      <c r="E20" s="1349">
        <f>C20*31.1034768/1000</f>
        <v>0.18662086080000001</v>
      </c>
      <c r="F20" s="1350">
        <v>12548</v>
      </c>
      <c r="G20" s="1348" t="s">
        <v>40</v>
      </c>
      <c r="H20" s="1375">
        <f>F20*0.3048</f>
        <v>3824.6304</v>
      </c>
      <c r="I20" s="1387">
        <f t="shared" si="1"/>
        <v>6.9995534875868204</v>
      </c>
      <c r="J20" s="1388">
        <f t="shared" si="8"/>
        <v>6999.5534875868207</v>
      </c>
      <c r="K20" s="1388">
        <f t="shared" si="2"/>
        <v>1.6717347713367137</v>
      </c>
      <c r="L20" s="1389">
        <f t="shared" si="3"/>
        <v>1.9443204132185612E-3</v>
      </c>
      <c r="M20" s="1390">
        <v>6.9995500000000002</v>
      </c>
      <c r="N20" s="1391">
        <v>6999.55</v>
      </c>
      <c r="O20" s="1391">
        <v>1.6717299999999999</v>
      </c>
      <c r="P20" s="1390">
        <v>1.94432E-3</v>
      </c>
      <c r="Q20" s="1392">
        <f t="shared" si="4"/>
        <v>4.9825847126002162E-7</v>
      </c>
      <c r="R20" s="1393">
        <f t="shared" si="5"/>
        <v>4.9825847129656612E-7</v>
      </c>
      <c r="S20" s="1393">
        <f t="shared" si="6"/>
        <v>2.8541230316767511E-6</v>
      </c>
      <c r="T20" s="1394">
        <f t="shared" si="7"/>
        <v>2.125259593730099E-7</v>
      </c>
    </row>
    <row r="21" spans="3:20" ht="15.75" thickTop="1" x14ac:dyDescent="0.25">
      <c r="C21" s="92">
        <v>69</v>
      </c>
      <c r="D21" s="61" t="s">
        <v>32</v>
      </c>
      <c r="E21" s="45">
        <f>C21/1000</f>
        <v>6.9000000000000006E-2</v>
      </c>
      <c r="F21" s="107">
        <v>14586</v>
      </c>
      <c r="G21" s="61" t="s">
        <v>41</v>
      </c>
      <c r="H21" s="45">
        <f>F21*2.54/100</f>
        <v>370.48440000000005</v>
      </c>
      <c r="I21" s="91">
        <f t="shared" si="1"/>
        <v>0.25069154804694005</v>
      </c>
      <c r="J21" s="503">
        <f t="shared" si="8"/>
        <v>250.69154804694006</v>
      </c>
      <c r="K21" s="503">
        <f t="shared" si="2"/>
        <v>5.9873787448516846E-2</v>
      </c>
      <c r="L21" s="275">
        <f t="shared" si="3"/>
        <v>6.9636541124150014E-5</v>
      </c>
      <c r="M21" s="530">
        <v>0.25069200000000003</v>
      </c>
      <c r="N21" s="531">
        <v>250.69200000000001</v>
      </c>
      <c r="O21" s="531">
        <v>5.9873799999999998E-2</v>
      </c>
      <c r="P21" s="530">
        <v>6.9636541124150001E-5</v>
      </c>
      <c r="Q21" s="190">
        <f t="shared" si="4"/>
        <v>-1.8028252787049306E-6</v>
      </c>
      <c r="R21" s="191">
        <f t="shared" si="5"/>
        <v>-1.8028252786021861E-6</v>
      </c>
      <c r="S21" s="191">
        <f t="shared" si="6"/>
        <v>-2.0963235643356612E-7</v>
      </c>
      <c r="T21" s="192">
        <f t="shared" si="7"/>
        <v>1.946180401451441E-16</v>
      </c>
    </row>
    <row r="22" spans="3:20" x14ac:dyDescent="0.25">
      <c r="C22" s="72">
        <v>587</v>
      </c>
      <c r="D22" s="62" t="s">
        <v>30</v>
      </c>
      <c r="E22" s="34">
        <f>C22</f>
        <v>587</v>
      </c>
      <c r="F22" s="108">
        <v>42</v>
      </c>
      <c r="G22" s="62" t="s">
        <v>41</v>
      </c>
      <c r="H22" s="34">
        <f>F22*2.54/100</f>
        <v>1.0668</v>
      </c>
      <c r="I22" s="91">
        <f t="shared" si="1"/>
        <v>6.1410379871399989</v>
      </c>
      <c r="J22" s="503">
        <f t="shared" si="8"/>
        <v>6141.0379871399991</v>
      </c>
      <c r="K22" s="503">
        <f t="shared" si="2"/>
        <v>1.4666916616049674</v>
      </c>
      <c r="L22" s="275">
        <f t="shared" si="3"/>
        <v>1.7058438853166664E-3</v>
      </c>
      <c r="M22" s="296">
        <v>6.1410400000000003</v>
      </c>
      <c r="N22" s="528">
        <v>6141.04</v>
      </c>
      <c r="O22" s="528">
        <v>1.46669</v>
      </c>
      <c r="P22" s="296">
        <v>1.7058399999999999E-3</v>
      </c>
      <c r="Q22" s="190">
        <f t="shared" si="4"/>
        <v>-3.2777195085891746E-7</v>
      </c>
      <c r="R22" s="191">
        <f t="shared" si="5"/>
        <v>-3.2777195077561056E-7</v>
      </c>
      <c r="S22" s="191">
        <f t="shared" si="6"/>
        <v>1.132893171000502E-6</v>
      </c>
      <c r="T22" s="192">
        <f t="shared" si="7"/>
        <v>2.2776507861770284E-6</v>
      </c>
    </row>
    <row r="23" spans="3:20" x14ac:dyDescent="0.25">
      <c r="C23" s="72">
        <v>425</v>
      </c>
      <c r="D23" s="62" t="s">
        <v>33</v>
      </c>
      <c r="E23" s="34">
        <f>C23*0.45359237</f>
        <v>192.77675725</v>
      </c>
      <c r="F23" s="108">
        <v>6</v>
      </c>
      <c r="G23" s="62" t="s">
        <v>41</v>
      </c>
      <c r="H23" s="34">
        <f>F23*2.54/100</f>
        <v>0.15240000000000001</v>
      </c>
      <c r="I23" s="91">
        <f t="shared" si="1"/>
        <v>0.28811131402042256</v>
      </c>
      <c r="J23" s="503">
        <f t="shared" si="8"/>
        <v>288.11131402042258</v>
      </c>
      <c r="K23" s="503">
        <f t="shared" si="2"/>
        <v>6.8810918084648329E-2</v>
      </c>
      <c r="L23" s="275">
        <f t="shared" si="3"/>
        <v>8.0030920561228487E-5</v>
      </c>
      <c r="M23" s="296">
        <v>0.28811100000000001</v>
      </c>
      <c r="N23" s="528">
        <v>288.11099999999999</v>
      </c>
      <c r="O23" s="528">
        <v>6.8810899999999994E-2</v>
      </c>
      <c r="P23" s="296">
        <v>8.0030920561228501E-5</v>
      </c>
      <c r="Q23" s="190">
        <f t="shared" si="4"/>
        <v>1.089927424826977E-6</v>
      </c>
      <c r="R23" s="191">
        <f t="shared" si="5"/>
        <v>1.0899274249626185E-6</v>
      </c>
      <c r="S23" s="191">
        <f t="shared" si="6"/>
        <v>2.6281655350344977E-7</v>
      </c>
      <c r="T23" s="192">
        <f t="shared" si="7"/>
        <v>-1.6934113791306828E-16</v>
      </c>
    </row>
    <row r="24" spans="3:20" x14ac:dyDescent="0.25">
      <c r="C24" s="72">
        <v>7</v>
      </c>
      <c r="D24" s="62" t="s">
        <v>34</v>
      </c>
      <c r="E24" s="34">
        <f>C24*1000</f>
        <v>7000</v>
      </c>
      <c r="F24" s="108">
        <v>156</v>
      </c>
      <c r="G24" s="62" t="s">
        <v>41</v>
      </c>
      <c r="H24" s="34">
        <f>F24*2.54/100</f>
        <v>3.9624000000000001</v>
      </c>
      <c r="I24" s="91">
        <f t="shared" si="1"/>
        <v>272.00508972</v>
      </c>
      <c r="J24" s="513">
        <f t="shared" si="8"/>
        <v>272005.08971999999</v>
      </c>
      <c r="K24" s="503">
        <f t="shared" si="2"/>
        <v>64.964196255075223</v>
      </c>
      <c r="L24" s="275">
        <f t="shared" si="3"/>
        <v>7.5556969366666671E-2</v>
      </c>
      <c r="M24" s="296">
        <v>272.005</v>
      </c>
      <c r="N24" s="528">
        <v>272005</v>
      </c>
      <c r="O24" s="528">
        <v>64.964200000000005</v>
      </c>
      <c r="P24" s="296">
        <v>7.5556999999999999E-2</v>
      </c>
      <c r="Q24" s="190">
        <f t="shared" si="4"/>
        <v>3.298467690356714E-7</v>
      </c>
      <c r="R24" s="191">
        <f t="shared" si="5"/>
        <v>3.2984676897548542E-7</v>
      </c>
      <c r="S24" s="191">
        <f t="shared" si="6"/>
        <v>-5.7645980380000863E-8</v>
      </c>
      <c r="T24" s="192">
        <f t="shared" si="7"/>
        <v>-4.0543358984731834E-7</v>
      </c>
    </row>
    <row r="25" spans="3:20" ht="15.75" thickBot="1" x14ac:dyDescent="0.3">
      <c r="C25" s="141">
        <v>569</v>
      </c>
      <c r="D25" s="290" t="s">
        <v>35</v>
      </c>
      <c r="E25" s="1624">
        <f>C25*31.1034768/1000</f>
        <v>17.697878299199999</v>
      </c>
      <c r="F25" s="701">
        <v>1568</v>
      </c>
      <c r="G25" s="290" t="s">
        <v>41</v>
      </c>
      <c r="H25" s="294">
        <f>F25*2.54/100</f>
        <v>39.827200000000005</v>
      </c>
      <c r="I25" s="1625">
        <f t="shared" si="1"/>
        <v>6.9122852969010795</v>
      </c>
      <c r="J25" s="1626">
        <f t="shared" si="8"/>
        <v>6912.2852969010792</v>
      </c>
      <c r="K25" s="1626">
        <f t="shared" si="2"/>
        <v>1.6508921177217768</v>
      </c>
      <c r="L25" s="1627">
        <f t="shared" si="3"/>
        <v>1.9200792491391888E-3</v>
      </c>
      <c r="M25" s="1628">
        <v>6.9122899999999996</v>
      </c>
      <c r="N25" s="1629">
        <v>6912.29</v>
      </c>
      <c r="O25" s="1629">
        <v>1.65089</v>
      </c>
      <c r="P25" s="1628">
        <v>1.92008E-3</v>
      </c>
      <c r="Q25" s="307">
        <f t="shared" si="4"/>
        <v>-6.8039710719081997E-7</v>
      </c>
      <c r="R25" s="341">
        <f t="shared" si="5"/>
        <v>-6.803971072936142E-7</v>
      </c>
      <c r="S25" s="341">
        <f t="shared" si="6"/>
        <v>1.2827741765168275E-6</v>
      </c>
      <c r="T25" s="342">
        <f t="shared" si="7"/>
        <v>-3.9105719807182078E-7</v>
      </c>
    </row>
    <row r="26" spans="3:20" ht="15.75" thickTop="1" x14ac:dyDescent="0.25">
      <c r="C26" s="825">
        <v>158</v>
      </c>
      <c r="D26" s="826" t="s">
        <v>32</v>
      </c>
      <c r="E26" s="404">
        <f>C26/1000</f>
        <v>0.158</v>
      </c>
      <c r="F26" s="827">
        <v>125</v>
      </c>
      <c r="G26" s="826" t="s">
        <v>42</v>
      </c>
      <c r="H26" s="404">
        <f>F26</f>
        <v>125</v>
      </c>
      <c r="I26" s="828">
        <f t="shared" si="1"/>
        <v>0.19368133749999999</v>
      </c>
      <c r="J26" s="829">
        <f t="shared" si="8"/>
        <v>193.68133749999998</v>
      </c>
      <c r="K26" s="829">
        <f t="shared" si="2"/>
        <v>4.6257783018867918E-2</v>
      </c>
      <c r="L26" s="830">
        <f t="shared" si="3"/>
        <v>5.3800371527777774E-5</v>
      </c>
      <c r="M26" s="831">
        <v>0.19368099999999999</v>
      </c>
      <c r="N26" s="832">
        <v>193.68100000000001</v>
      </c>
      <c r="O26" s="832">
        <v>4.6257800000000002E-2</v>
      </c>
      <c r="P26" s="831">
        <v>5.3800371527777801E-5</v>
      </c>
      <c r="Q26" s="370">
        <f t="shared" si="4"/>
        <v>1.7425530221917544E-6</v>
      </c>
      <c r="R26" s="424">
        <f t="shared" si="5"/>
        <v>1.7425530220335454E-6</v>
      </c>
      <c r="S26" s="424">
        <f t="shared" si="6"/>
        <v>-3.6709783685242721E-7</v>
      </c>
      <c r="T26" s="518">
        <f t="shared" si="7"/>
        <v>-5.0380793928426588E-16</v>
      </c>
    </row>
    <row r="27" spans="3:20" x14ac:dyDescent="0.25">
      <c r="C27" s="213">
        <v>36</v>
      </c>
      <c r="D27" s="214" t="s">
        <v>30</v>
      </c>
      <c r="E27" s="215">
        <f>C27</f>
        <v>36</v>
      </c>
      <c r="F27" s="833">
        <v>15.5</v>
      </c>
      <c r="G27" s="214" t="s">
        <v>42</v>
      </c>
      <c r="H27" s="216">
        <f>F27</f>
        <v>15.5</v>
      </c>
      <c r="I27" s="358">
        <f t="shared" si="1"/>
        <v>5.4721106999999991</v>
      </c>
      <c r="J27" s="483">
        <f t="shared" si="8"/>
        <v>5472.1106999999993</v>
      </c>
      <c r="K27" s="483">
        <f t="shared" si="2"/>
        <v>1.3069287556723188</v>
      </c>
      <c r="L27" s="355">
        <f t="shared" si="3"/>
        <v>1.5200307499999997E-3</v>
      </c>
      <c r="M27" s="834">
        <v>5.4721099999999998</v>
      </c>
      <c r="N27" s="835">
        <v>5472.11</v>
      </c>
      <c r="O27" s="835">
        <v>1.3069299999999999</v>
      </c>
      <c r="P27" s="834">
        <v>1.5200299999999999E-3</v>
      </c>
      <c r="Q27" s="221">
        <f t="shared" si="4"/>
        <v>1.279213885966313E-7</v>
      </c>
      <c r="R27" s="222">
        <f t="shared" si="5"/>
        <v>1.2792138865116746E-7</v>
      </c>
      <c r="S27" s="222">
        <f t="shared" si="6"/>
        <v>-9.521006219468366E-7</v>
      </c>
      <c r="T27" s="223">
        <f t="shared" si="7"/>
        <v>4.9341107067871727E-7</v>
      </c>
    </row>
    <row r="28" spans="3:20" x14ac:dyDescent="0.25">
      <c r="C28" s="203">
        <v>258</v>
      </c>
      <c r="D28" s="204" t="s">
        <v>33</v>
      </c>
      <c r="E28" s="205">
        <f>C28*0.45359237</f>
        <v>117.02683146000001</v>
      </c>
      <c r="F28" s="366">
        <v>456</v>
      </c>
      <c r="G28" s="204" t="s">
        <v>42</v>
      </c>
      <c r="H28" s="206">
        <f>F28</f>
        <v>456</v>
      </c>
      <c r="I28" s="351">
        <f t="shared" si="1"/>
        <v>523.32437659216725</v>
      </c>
      <c r="J28" s="208">
        <f t="shared" si="8"/>
        <v>523324.3765921673</v>
      </c>
      <c r="K28" s="504">
        <f t="shared" si="2"/>
        <v>124.98790938432462</v>
      </c>
      <c r="L28" s="836">
        <f t="shared" si="3"/>
        <v>0.14536788238671314</v>
      </c>
      <c r="M28" s="837">
        <v>523.32399999999996</v>
      </c>
      <c r="N28" s="838">
        <v>523324</v>
      </c>
      <c r="O28" s="838">
        <v>124.988</v>
      </c>
      <c r="P28" s="837">
        <v>0.145368</v>
      </c>
      <c r="Q28" s="460">
        <f t="shared" si="4"/>
        <v>7.1961518351519983E-7</v>
      </c>
      <c r="R28" s="524">
        <f t="shared" si="5"/>
        <v>7.1961518352388933E-7</v>
      </c>
      <c r="S28" s="524">
        <f t="shared" si="6"/>
        <v>-7.2499552814410457E-7</v>
      </c>
      <c r="T28" s="550">
        <f t="shared" si="7"/>
        <v>-8.0907340004296297E-7</v>
      </c>
    </row>
    <row r="29" spans="3:20" x14ac:dyDescent="0.25">
      <c r="C29" s="213">
        <v>1258</v>
      </c>
      <c r="D29" s="214" t="s">
        <v>34</v>
      </c>
      <c r="E29" s="215">
        <f>C29*1000</f>
        <v>1258000</v>
      </c>
      <c r="F29" s="354">
        <v>786</v>
      </c>
      <c r="G29" s="214" t="s">
        <v>42</v>
      </c>
      <c r="H29" s="216">
        <f>F29</f>
        <v>786</v>
      </c>
      <c r="I29" s="839">
        <f t="shared" si="1"/>
        <v>9696697.8401999995</v>
      </c>
      <c r="J29" s="508">
        <f t="shared" si="8"/>
        <v>9696697840.1999989</v>
      </c>
      <c r="K29" s="208">
        <f t="shared" si="2"/>
        <v>2315905.8610460949</v>
      </c>
      <c r="L29" s="836">
        <f t="shared" si="3"/>
        <v>2693.5271778333331</v>
      </c>
      <c r="M29" s="840">
        <v>9696698</v>
      </c>
      <c r="N29" s="841">
        <v>9696697840</v>
      </c>
      <c r="O29" s="841">
        <v>2315906</v>
      </c>
      <c r="P29" s="840">
        <v>2693.53</v>
      </c>
      <c r="Q29" s="460">
        <f t="shared" si="4"/>
        <v>-1.6479837066415397E-8</v>
      </c>
      <c r="R29" s="524">
        <f t="shared" si="5"/>
        <v>2.0625460222311643E-11</v>
      </c>
      <c r="S29" s="524">
        <f t="shared" si="6"/>
        <v>-5.9999807170140712E-8</v>
      </c>
      <c r="T29" s="550">
        <f t="shared" si="7"/>
        <v>-1.0477587493183193E-6</v>
      </c>
    </row>
    <row r="30" spans="3:20" ht="15.75" thickBot="1" x14ac:dyDescent="0.3">
      <c r="C30" s="227">
        <v>12548</v>
      </c>
      <c r="D30" s="228" t="s">
        <v>35</v>
      </c>
      <c r="E30" s="361">
        <f>C30*31.1034768/1000</f>
        <v>390.28642688639997</v>
      </c>
      <c r="F30" s="362">
        <v>45</v>
      </c>
      <c r="G30" s="228" t="s">
        <v>42</v>
      </c>
      <c r="H30" s="230">
        <f>F30</f>
        <v>45</v>
      </c>
      <c r="I30" s="842">
        <f t="shared" si="1"/>
        <v>172.23310747014813</v>
      </c>
      <c r="J30" s="445">
        <f t="shared" si="8"/>
        <v>172233.10747014813</v>
      </c>
      <c r="K30" s="619">
        <f t="shared" si="2"/>
        <v>41.135205987615983</v>
      </c>
      <c r="L30" s="843">
        <f t="shared" si="3"/>
        <v>4.7842529852818921E-2</v>
      </c>
      <c r="M30" s="844">
        <v>172.233</v>
      </c>
      <c r="N30" s="845">
        <v>172233</v>
      </c>
      <c r="O30" s="845">
        <v>41.135199999999998</v>
      </c>
      <c r="P30" s="844">
        <v>4.7842500000000003E-2</v>
      </c>
      <c r="Q30" s="234">
        <f t="shared" si="4"/>
        <v>6.2398077641131646E-7</v>
      </c>
      <c r="R30" s="235">
        <f t="shared" si="5"/>
        <v>6.2398077643243892E-7</v>
      </c>
      <c r="S30" s="235">
        <f t="shared" si="6"/>
        <v>1.4555940201321699E-7</v>
      </c>
      <c r="T30" s="236">
        <f t="shared" si="7"/>
        <v>6.2398077631140278E-7</v>
      </c>
    </row>
    <row r="31" spans="3:20" ht="15.75" thickTop="1" x14ac:dyDescent="0.25">
      <c r="C31" s="1639">
        <v>125</v>
      </c>
      <c r="D31" s="127" t="s">
        <v>32</v>
      </c>
      <c r="E31" s="1640">
        <f>C31/1000</f>
        <v>0.125</v>
      </c>
      <c r="F31" s="1641">
        <v>365</v>
      </c>
      <c r="G31" s="127" t="s">
        <v>43</v>
      </c>
      <c r="H31" s="1642">
        <f>F31/1000</f>
        <v>0.36499999999999999</v>
      </c>
      <c r="I31" s="1643">
        <f t="shared" si="1"/>
        <v>4.4742840624999999E-4</v>
      </c>
      <c r="J31" s="760">
        <f t="shared" si="8"/>
        <v>0.44742840624999997</v>
      </c>
      <c r="K31" s="760">
        <f t="shared" si="2"/>
        <v>1.068613341891569E-4</v>
      </c>
      <c r="L31" s="1644">
        <f t="shared" si="3"/>
        <v>1.2428566840277776E-7</v>
      </c>
      <c r="M31" s="1645">
        <v>4.4742799999999999E-4</v>
      </c>
      <c r="N31" s="1646">
        <v>0.44742799999999999</v>
      </c>
      <c r="O31" s="1646">
        <v>1.0686100000000001E-4</v>
      </c>
      <c r="P31" s="1647">
        <v>1.24285668402778E-7</v>
      </c>
      <c r="Q31" s="143">
        <f t="shared" si="4"/>
        <v>9.0796649101446809E-7</v>
      </c>
      <c r="R31" s="144">
        <f t="shared" si="5"/>
        <v>9.0796649094855739E-7</v>
      </c>
      <c r="S31" s="144">
        <f t="shared" si="6"/>
        <v>3.1273159691803205E-6</v>
      </c>
      <c r="T31" s="145">
        <f t="shared" si="7"/>
        <v>-1.9167778511938841E-15</v>
      </c>
    </row>
    <row r="32" spans="3:20" x14ac:dyDescent="0.25">
      <c r="C32" s="1648">
        <v>258</v>
      </c>
      <c r="D32" s="64" t="s">
        <v>30</v>
      </c>
      <c r="E32" s="1253">
        <f>C32</f>
        <v>258</v>
      </c>
      <c r="F32" s="1649">
        <v>89</v>
      </c>
      <c r="G32" s="64" t="s">
        <v>43</v>
      </c>
      <c r="H32" s="56">
        <f>F32/1000</f>
        <v>8.8999999999999996E-2</v>
      </c>
      <c r="I32" s="1643">
        <f t="shared" si="1"/>
        <v>0.22518029729999997</v>
      </c>
      <c r="J32" s="760">
        <f t="shared" si="8"/>
        <v>225.18029729999998</v>
      </c>
      <c r="K32" s="760">
        <f t="shared" si="2"/>
        <v>5.3780820945784562E-2</v>
      </c>
      <c r="L32" s="1644">
        <f t="shared" si="3"/>
        <v>6.2550082583333322E-5</v>
      </c>
      <c r="M32" s="1650">
        <v>0.22517999999999999</v>
      </c>
      <c r="N32" s="1651">
        <v>225.18</v>
      </c>
      <c r="O32" s="1651">
        <v>5.3780799999999997E-2</v>
      </c>
      <c r="P32" s="1652">
        <v>6.2550082583333295E-5</v>
      </c>
      <c r="Q32" s="143">
        <f t="shared" si="4"/>
        <v>1.3202753684237042E-6</v>
      </c>
      <c r="R32" s="144">
        <f t="shared" si="5"/>
        <v>1.3202753683872195E-6</v>
      </c>
      <c r="S32" s="144">
        <f t="shared" si="6"/>
        <v>3.8946569049670281E-7</v>
      </c>
      <c r="T32" s="145">
        <f t="shared" si="7"/>
        <v>4.3333362951242279E-16</v>
      </c>
    </row>
    <row r="33" spans="3:32" x14ac:dyDescent="0.25">
      <c r="C33" s="1648">
        <v>58</v>
      </c>
      <c r="D33" s="64" t="s">
        <v>33</v>
      </c>
      <c r="E33" s="1253">
        <f>C33*0.45359237</f>
        <v>26.30835746</v>
      </c>
      <c r="F33" s="1649">
        <v>589</v>
      </c>
      <c r="G33" s="64" t="s">
        <v>43</v>
      </c>
      <c r="H33" s="56">
        <f>F33/1000</f>
        <v>0.58899999999999997</v>
      </c>
      <c r="I33" s="1643">
        <f t="shared" si="1"/>
        <v>0.15196014682052919</v>
      </c>
      <c r="J33" s="760">
        <f t="shared" si="8"/>
        <v>151.96014682052919</v>
      </c>
      <c r="K33" s="760">
        <f t="shared" si="2"/>
        <v>3.62933238167015E-2</v>
      </c>
      <c r="L33" s="1644">
        <f t="shared" si="3"/>
        <v>4.2211151894591441E-5</v>
      </c>
      <c r="M33" s="1650">
        <v>0.15196000000000001</v>
      </c>
      <c r="N33" s="1651">
        <v>151.96</v>
      </c>
      <c r="O33" s="1651">
        <v>3.6293300000000001E-2</v>
      </c>
      <c r="P33" s="1652">
        <v>4.22111518945914E-5</v>
      </c>
      <c r="Q33" s="143">
        <f t="shared" si="4"/>
        <v>9.6617785814727182E-7</v>
      </c>
      <c r="R33" s="144">
        <f t="shared" si="5"/>
        <v>9.6617785816480625E-7</v>
      </c>
      <c r="S33" s="144">
        <f t="shared" si="6"/>
        <v>6.5622817078297023E-7</v>
      </c>
      <c r="T33" s="145">
        <f t="shared" si="7"/>
        <v>9.6319526104701999E-16</v>
      </c>
    </row>
    <row r="34" spans="3:32" x14ac:dyDescent="0.25">
      <c r="C34" s="1648">
        <v>45</v>
      </c>
      <c r="D34" s="64" t="s">
        <v>34</v>
      </c>
      <c r="E34" s="1253">
        <f>C34*1000</f>
        <v>45000</v>
      </c>
      <c r="F34" s="1649">
        <v>2</v>
      </c>
      <c r="G34" s="64" t="s">
        <v>43</v>
      </c>
      <c r="H34" s="56">
        <f>F34/1000</f>
        <v>2E-3</v>
      </c>
      <c r="I34" s="1643">
        <f t="shared" si="1"/>
        <v>0.88259849999999995</v>
      </c>
      <c r="J34" s="760">
        <f t="shared" si="8"/>
        <v>882.59849999999994</v>
      </c>
      <c r="K34" s="760">
        <f t="shared" si="2"/>
        <v>0.21079496059230951</v>
      </c>
      <c r="L34" s="1644">
        <f t="shared" si="3"/>
        <v>2.4516624999999998E-4</v>
      </c>
      <c r="M34" s="1653">
        <v>0.88259799999999999</v>
      </c>
      <c r="N34" s="1651">
        <v>882.59799999999996</v>
      </c>
      <c r="O34" s="1651">
        <v>0.21079500000000001</v>
      </c>
      <c r="P34" s="1650">
        <v>2.45166E-4</v>
      </c>
      <c r="Q34" s="143">
        <f t="shared" si="4"/>
        <v>5.6650900716335534E-7</v>
      </c>
      <c r="R34" s="144">
        <f t="shared" si="5"/>
        <v>5.6650900719656401E-7</v>
      </c>
      <c r="S34" s="144">
        <f t="shared" si="6"/>
        <v>-1.8694797251781167E-7</v>
      </c>
      <c r="T34" s="145">
        <f t="shared" si="7"/>
        <v>1.0197162128834262E-6</v>
      </c>
    </row>
    <row r="35" spans="3:32" ht="15.75" thickBot="1" x14ac:dyDescent="0.3">
      <c r="C35" s="1654">
        <v>7862</v>
      </c>
      <c r="D35" s="1655" t="s">
        <v>35</v>
      </c>
      <c r="E35" s="1656">
        <f>C35*31.1034768/1000</f>
        <v>244.53553460160001</v>
      </c>
      <c r="F35" s="1657">
        <v>4896</v>
      </c>
      <c r="G35" s="1655" t="s">
        <v>43</v>
      </c>
      <c r="H35" s="1658">
        <f>F35/1000</f>
        <v>4.8959999999999999</v>
      </c>
      <c r="I35" s="1659">
        <f t="shared" si="1"/>
        <v>11.74097226436222</v>
      </c>
      <c r="J35" s="1660">
        <f t="shared" si="8"/>
        <v>11740.972264362221</v>
      </c>
      <c r="K35" s="1660">
        <f t="shared" si="2"/>
        <v>2.80414909585914</v>
      </c>
      <c r="L35" s="1661">
        <f t="shared" si="3"/>
        <v>3.2613811845450614E-3</v>
      </c>
      <c r="M35" s="1662">
        <v>11.741</v>
      </c>
      <c r="N35" s="1663">
        <v>11741</v>
      </c>
      <c r="O35" s="1663">
        <v>2.8041499999999999</v>
      </c>
      <c r="P35" s="1664">
        <v>3.2613799999999999E-3</v>
      </c>
      <c r="Q35" s="1665">
        <f t="shared" si="4"/>
        <v>-2.3622948044554196E-6</v>
      </c>
      <c r="R35" s="1666">
        <f t="shared" si="5"/>
        <v>-2.3622948044408951E-6</v>
      </c>
      <c r="S35" s="1666">
        <f t="shared" si="6"/>
        <v>-3.2242966727187875E-7</v>
      </c>
      <c r="T35" s="1667">
        <f t="shared" si="7"/>
        <v>3.6320350011357194E-7</v>
      </c>
    </row>
    <row r="36" spans="3:32" ht="15.75" thickTop="1" x14ac:dyDescent="0.25">
      <c r="C36" s="1784">
        <v>125</v>
      </c>
      <c r="D36" s="1785" t="s">
        <v>32</v>
      </c>
      <c r="E36" s="1786">
        <f>C36/1000</f>
        <v>0.125</v>
      </c>
      <c r="F36" s="1787">
        <v>1256</v>
      </c>
      <c r="G36" s="1785" t="s">
        <v>44</v>
      </c>
      <c r="H36" s="1786">
        <f>F36*0.9144</f>
        <v>1148.4864</v>
      </c>
      <c r="I36" s="1788">
        <f t="shared" si="1"/>
        <v>1.4078505193199999</v>
      </c>
      <c r="J36" s="1789">
        <f t="shared" si="8"/>
        <v>1407.8505193199999</v>
      </c>
      <c r="K36" s="1789">
        <f t="shared" si="2"/>
        <v>0.33624325754000473</v>
      </c>
      <c r="L36" s="1790">
        <f t="shared" si="3"/>
        <v>3.9106958870000001E-4</v>
      </c>
      <c r="M36" s="1791">
        <v>1.40785</v>
      </c>
      <c r="N36" s="1792">
        <v>1407.85</v>
      </c>
      <c r="O36" s="1792">
        <v>0.33624300000000001</v>
      </c>
      <c r="P36" s="1791">
        <v>3.9106999999999998E-4</v>
      </c>
      <c r="Q36" s="1793">
        <f t="shared" si="4"/>
        <v>3.6887438883988248E-7</v>
      </c>
      <c r="R36" s="1794">
        <f t="shared" si="5"/>
        <v>3.6887438889287604E-7</v>
      </c>
      <c r="S36" s="1794">
        <f t="shared" si="6"/>
        <v>7.6593358806750188E-7</v>
      </c>
      <c r="T36" s="1795">
        <f t="shared" si="7"/>
        <v>-1.051730975398107E-6</v>
      </c>
    </row>
    <row r="37" spans="3:32" x14ac:dyDescent="0.25">
      <c r="C37" s="1796">
        <v>1254</v>
      </c>
      <c r="D37" s="1797" t="s">
        <v>30</v>
      </c>
      <c r="E37" s="1798">
        <f>C37</f>
        <v>1254</v>
      </c>
      <c r="F37" s="1799">
        <v>15987</v>
      </c>
      <c r="G37" s="1797" t="s">
        <v>44</v>
      </c>
      <c r="H37" s="1800">
        <f>F37*0.9144</f>
        <v>14618.5128</v>
      </c>
      <c r="I37" s="1801">
        <f t="shared" si="1"/>
        <v>179771.73274185046</v>
      </c>
      <c r="J37" s="1802">
        <f t="shared" si="8"/>
        <v>179771732.74185047</v>
      </c>
      <c r="K37" s="1803">
        <f t="shared" si="2"/>
        <v>42935.689692345462</v>
      </c>
      <c r="L37" s="1804">
        <f t="shared" si="3"/>
        <v>49.936592428291796</v>
      </c>
      <c r="M37" s="1805">
        <v>179772</v>
      </c>
      <c r="N37" s="1806">
        <v>179771733</v>
      </c>
      <c r="O37" s="1806">
        <v>42935.7</v>
      </c>
      <c r="P37" s="1805">
        <v>49.936599999999999</v>
      </c>
      <c r="Q37" s="1807">
        <f t="shared" si="4"/>
        <v>-1.4866527983372764E-6</v>
      </c>
      <c r="R37" s="1808">
        <f t="shared" si="5"/>
        <v>-1.4359851269530864E-9</v>
      </c>
      <c r="S37" s="1808">
        <f t="shared" si="6"/>
        <v>-2.4007194500795535E-7</v>
      </c>
      <c r="T37" s="1809">
        <f t="shared" si="7"/>
        <v>-1.5162644935214688E-7</v>
      </c>
    </row>
    <row r="38" spans="3:32" x14ac:dyDescent="0.25">
      <c r="C38" s="1796">
        <v>1239</v>
      </c>
      <c r="D38" s="1797" t="s">
        <v>33</v>
      </c>
      <c r="E38" s="1798">
        <f>C38*0.45359237</f>
        <v>562.00094643</v>
      </c>
      <c r="F38" s="1799">
        <v>56895</v>
      </c>
      <c r="G38" s="1797" t="s">
        <v>44</v>
      </c>
      <c r="H38" s="1800">
        <f>F38*0.9144</f>
        <v>52024.788</v>
      </c>
      <c r="I38" s="1801">
        <f t="shared" si="1"/>
        <v>286726.63748706091</v>
      </c>
      <c r="J38" s="1802">
        <f t="shared" si="8"/>
        <v>286726637.4870609</v>
      </c>
      <c r="K38" s="1803">
        <f t="shared" si="2"/>
        <v>68480.209574172652</v>
      </c>
      <c r="L38" s="1804">
        <f t="shared" si="3"/>
        <v>79.646288190850257</v>
      </c>
      <c r="M38" s="1805">
        <v>286727</v>
      </c>
      <c r="N38" s="1806">
        <v>286726637</v>
      </c>
      <c r="O38" s="1806">
        <v>68480.2</v>
      </c>
      <c r="P38" s="1805">
        <v>79.646299999999997</v>
      </c>
      <c r="Q38" s="1807">
        <f t="shared" si="4"/>
        <v>-1.2643155245807162E-6</v>
      </c>
      <c r="R38" s="1808">
        <f t="shared" si="5"/>
        <v>1.6986942991121577E-9</v>
      </c>
      <c r="S38" s="1808">
        <f t="shared" si="6"/>
        <v>1.3980933636262294E-7</v>
      </c>
      <c r="T38" s="1809">
        <f t="shared" si="7"/>
        <v>-1.4826993207220856E-7</v>
      </c>
    </row>
    <row r="39" spans="3:32" x14ac:dyDescent="0.25">
      <c r="C39" s="1810">
        <v>12.5</v>
      </c>
      <c r="D39" s="1797" t="s">
        <v>34</v>
      </c>
      <c r="E39" s="1798">
        <f>C39*1000</f>
        <v>12500</v>
      </c>
      <c r="F39" s="1799">
        <v>56</v>
      </c>
      <c r="G39" s="1797" t="s">
        <v>44</v>
      </c>
      <c r="H39" s="1800">
        <f>F39*0.9144</f>
        <v>51.206400000000002</v>
      </c>
      <c r="I39" s="1811">
        <f t="shared" si="1"/>
        <v>6277.040532</v>
      </c>
      <c r="J39" s="1802">
        <f t="shared" si="8"/>
        <v>6277040.5319999997</v>
      </c>
      <c r="K39" s="1803">
        <f t="shared" si="2"/>
        <v>1499.1737597325052</v>
      </c>
      <c r="L39" s="1804">
        <f t="shared" si="3"/>
        <v>1.74362237</v>
      </c>
      <c r="M39" s="1805">
        <v>6277.04</v>
      </c>
      <c r="N39" s="1806">
        <v>6277041</v>
      </c>
      <c r="O39" s="1806">
        <v>1499.17</v>
      </c>
      <c r="P39" s="1805">
        <v>1.7436199999999999</v>
      </c>
      <c r="Q39" s="1807">
        <f t="shared" si="4"/>
        <v>8.4753316042642245E-8</v>
      </c>
      <c r="R39" s="1808">
        <f t="shared" si="5"/>
        <v>-7.4557428450061627E-8</v>
      </c>
      <c r="S39" s="1808">
        <f t="shared" si="6"/>
        <v>2.5078697387486995E-6</v>
      </c>
      <c r="T39" s="1809">
        <f t="shared" si="7"/>
        <v>1.3592392715340611E-6</v>
      </c>
    </row>
    <row r="40" spans="3:32" ht="15.75" thickBot="1" x14ac:dyDescent="0.3">
      <c r="C40" s="1812">
        <v>254</v>
      </c>
      <c r="D40" s="1813" t="s">
        <v>35</v>
      </c>
      <c r="E40" s="1814">
        <f>C40*31.1034768/1000</f>
        <v>7.9002831071999999</v>
      </c>
      <c r="F40" s="1815">
        <v>198</v>
      </c>
      <c r="G40" s="1813" t="s">
        <v>44</v>
      </c>
      <c r="H40" s="1816">
        <f>F40*0.9144</f>
        <v>181.05119999999999</v>
      </c>
      <c r="I40" s="1817">
        <f t="shared" si="1"/>
        <v>14.026998087253602</v>
      </c>
      <c r="J40" s="1818">
        <f t="shared" si="8"/>
        <v>14026.998087253602</v>
      </c>
      <c r="K40" s="1818">
        <f t="shared" si="2"/>
        <v>3.3501309021384289</v>
      </c>
      <c r="L40" s="1819">
        <f t="shared" si="3"/>
        <v>3.8963883575704452E-3</v>
      </c>
      <c r="M40" s="1820">
        <v>14.026999999999999</v>
      </c>
      <c r="N40" s="1821">
        <v>14027</v>
      </c>
      <c r="O40" s="1821">
        <v>3.3501300000000001</v>
      </c>
      <c r="P40" s="1820">
        <v>3.89639E-3</v>
      </c>
      <c r="Q40" s="1822">
        <f t="shared" si="4"/>
        <v>-1.3636177783214774E-7</v>
      </c>
      <c r="R40" s="1823">
        <f t="shared" si="5"/>
        <v>-1.3636177794257646E-7</v>
      </c>
      <c r="S40" s="1823">
        <f t="shared" si="6"/>
        <v>2.692845310232328E-7</v>
      </c>
      <c r="T40" s="1824">
        <f t="shared" si="7"/>
        <v>-4.2152614268600068E-7</v>
      </c>
    </row>
    <row r="41" spans="3:32" ht="15.75" thickTop="1" x14ac:dyDescent="0.25">
      <c r="C41" s="1926">
        <v>129</v>
      </c>
      <c r="D41" s="1927" t="s">
        <v>32</v>
      </c>
      <c r="E41" s="1928">
        <f>C41/1000</f>
        <v>0.129</v>
      </c>
      <c r="F41" s="1929">
        <v>856</v>
      </c>
      <c r="G41" s="1927" t="s">
        <v>156</v>
      </c>
      <c r="H41" s="1928">
        <f>F41/1000000</f>
        <v>8.5599999999999999E-4</v>
      </c>
      <c r="I41" s="1930">
        <f t="shared" si="1"/>
        <v>1.0828895195999998E-6</v>
      </c>
      <c r="J41" s="1931">
        <f t="shared" si="8"/>
        <v>1.0828895195999998E-3</v>
      </c>
      <c r="K41" s="1931">
        <f t="shared" si="2"/>
        <v>2.5863136364939094E-7</v>
      </c>
      <c r="L41" s="1932">
        <f t="shared" si="3"/>
        <v>3.008026443333333E-10</v>
      </c>
      <c r="M41" s="1933">
        <v>1.0828895196000001E-6</v>
      </c>
      <c r="N41" s="1934">
        <v>1.08289E-3</v>
      </c>
      <c r="O41" s="1934">
        <v>2.5863136364939099E-7</v>
      </c>
      <c r="P41" s="1933">
        <v>3.0080264433333299E-10</v>
      </c>
      <c r="Q41" s="1935">
        <f t="shared" si="4"/>
        <v>-1.955492531609271E-16</v>
      </c>
      <c r="R41" s="1936">
        <f t="shared" si="5"/>
        <v>-4.4362789690635824E-7</v>
      </c>
      <c r="S41" s="1936">
        <f t="shared" si="6"/>
        <v>-2.0469118074620043E-16</v>
      </c>
      <c r="T41" s="1937">
        <f t="shared" si="7"/>
        <v>1.0312167647158265E-15</v>
      </c>
    </row>
    <row r="42" spans="3:32" x14ac:dyDescent="0.25">
      <c r="C42" s="1938">
        <v>569</v>
      </c>
      <c r="D42" s="1939" t="s">
        <v>30</v>
      </c>
      <c r="E42" s="1940">
        <f>C42</f>
        <v>569</v>
      </c>
      <c r="F42" s="1941">
        <v>9</v>
      </c>
      <c r="G42" s="1939" t="s">
        <v>156</v>
      </c>
      <c r="H42" s="1940">
        <f>F42/1000000</f>
        <v>9.0000000000000002E-6</v>
      </c>
      <c r="I42" s="1930">
        <f t="shared" si="1"/>
        <v>5.0219854649999996E-5</v>
      </c>
      <c r="J42" s="1931">
        <f t="shared" si="8"/>
        <v>5.021985465E-2</v>
      </c>
      <c r="K42" s="1931">
        <f t="shared" si="2"/>
        <v>1.199423325770241E-5</v>
      </c>
      <c r="L42" s="1932">
        <f t="shared" si="3"/>
        <v>1.3949959624999998E-8</v>
      </c>
      <c r="M42" s="1942">
        <v>5.0219854650000003E-5</v>
      </c>
      <c r="N42" s="1943">
        <v>5.0219899999999998E-2</v>
      </c>
      <c r="O42" s="1943">
        <v>1.19942332577024E-5</v>
      </c>
      <c r="P42" s="1942">
        <v>1.3949959625E-8</v>
      </c>
      <c r="Q42" s="1935">
        <f t="shared" si="4"/>
        <v>-1.3493196316995718E-16</v>
      </c>
      <c r="R42" s="1936">
        <f t="shared" si="5"/>
        <v>-9.0302929616970172E-7</v>
      </c>
      <c r="S42" s="1936">
        <f t="shared" si="6"/>
        <v>8.4744019468891624E-16</v>
      </c>
      <c r="T42" s="1937">
        <f t="shared" si="7"/>
        <v>-1.1859254575484518E-16</v>
      </c>
    </row>
    <row r="43" spans="3:32" x14ac:dyDescent="0.25">
      <c r="C43" s="1938">
        <v>42</v>
      </c>
      <c r="D43" s="1939" t="s">
        <v>33</v>
      </c>
      <c r="E43" s="1940">
        <f>C43*0.45359237</f>
        <v>19.05087954</v>
      </c>
      <c r="F43" s="1941">
        <v>1256</v>
      </c>
      <c r="G43" s="1939" t="s">
        <v>156</v>
      </c>
      <c r="H43" s="1940">
        <f>F43/1000000</f>
        <v>1.256E-3</v>
      </c>
      <c r="I43" s="1930">
        <f t="shared" si="1"/>
        <v>2.3465258664822185E-4</v>
      </c>
      <c r="J43" s="1931">
        <f t="shared" si="8"/>
        <v>0.23465258664822186</v>
      </c>
      <c r="K43" s="1931">
        <f t="shared" si="2"/>
        <v>5.6043130319613525E-5</v>
      </c>
      <c r="L43" s="1932">
        <f t="shared" si="3"/>
        <v>6.5181274068950515E-8</v>
      </c>
      <c r="M43" s="1942">
        <v>2.34653E-4</v>
      </c>
      <c r="N43" s="1943">
        <v>0.234653</v>
      </c>
      <c r="O43" s="1943">
        <v>5.6043130319613498E-5</v>
      </c>
      <c r="P43" s="1942">
        <v>6.5181274068950501E-8</v>
      </c>
      <c r="Q43" s="1935">
        <f t="shared" si="4"/>
        <v>-1.7615479294614012E-6</v>
      </c>
      <c r="R43" s="1936">
        <f t="shared" si="5"/>
        <v>-1.7615479294022592E-6</v>
      </c>
      <c r="S43" s="1936">
        <f t="shared" si="6"/>
        <v>4.8364633020242984E-16</v>
      </c>
      <c r="T43" s="1937">
        <f t="shared" si="7"/>
        <v>2.0304742412442288E-16</v>
      </c>
    </row>
    <row r="44" spans="3:32" x14ac:dyDescent="0.25">
      <c r="C44" s="1938">
        <v>158</v>
      </c>
      <c r="D44" s="1939" t="s">
        <v>34</v>
      </c>
      <c r="E44" s="1940">
        <f>C44*1000</f>
        <v>158000</v>
      </c>
      <c r="F44" s="1941">
        <v>56</v>
      </c>
      <c r="G44" s="1939" t="s">
        <v>156</v>
      </c>
      <c r="H44" s="1940">
        <f>F44/1000000</f>
        <v>5.5999999999999999E-5</v>
      </c>
      <c r="I44" s="1930">
        <f t="shared" si="1"/>
        <v>8.6769239200000001E-2</v>
      </c>
      <c r="J44" s="1931">
        <f t="shared" si="8"/>
        <v>86.769239200000001</v>
      </c>
      <c r="K44" s="1931">
        <f t="shared" si="2"/>
        <v>2.0723486792452828E-2</v>
      </c>
      <c r="L44" s="1932">
        <f t="shared" si="3"/>
        <v>2.4102566444444444E-5</v>
      </c>
      <c r="M44" s="1942">
        <v>8.6769200000000005E-2</v>
      </c>
      <c r="N44" s="1943">
        <v>86.769199999999998</v>
      </c>
      <c r="O44" s="1943">
        <v>2.0723499999999999E-2</v>
      </c>
      <c r="P44" s="1942">
        <v>2.41025664444444E-5</v>
      </c>
      <c r="Q44" s="1935">
        <f t="shared" si="4"/>
        <v>4.5177300570384851E-7</v>
      </c>
      <c r="R44" s="1936">
        <f t="shared" si="5"/>
        <v>4.5177300578829632E-7</v>
      </c>
      <c r="S44" s="1936">
        <f t="shared" si="6"/>
        <v>-6.3732263314532583E-7</v>
      </c>
      <c r="T44" s="1937">
        <f t="shared" si="7"/>
        <v>1.827428351198509E-15</v>
      </c>
    </row>
    <row r="45" spans="3:32" ht="15.75" thickBot="1" x14ac:dyDescent="0.3">
      <c r="C45" s="1944">
        <v>0.7</v>
      </c>
      <c r="D45" s="1945" t="s">
        <v>35</v>
      </c>
      <c r="E45" s="1946">
        <f>C45*31.1034768/1000</f>
        <v>2.1772433759999998E-2</v>
      </c>
      <c r="F45" s="1947">
        <v>240</v>
      </c>
      <c r="G45" s="1945" t="s">
        <v>156</v>
      </c>
      <c r="H45" s="1948">
        <f>F45/1000000</f>
        <v>2.4000000000000001E-4</v>
      </c>
      <c r="I45" s="1949">
        <f t="shared" si="1"/>
        <v>5.1243513007800948E-8</v>
      </c>
      <c r="J45" s="1950">
        <f t="shared" si="8"/>
        <v>5.124351300780095E-5</v>
      </c>
      <c r="K45" s="1950">
        <f t="shared" si="2"/>
        <v>1.2238718177167649E-8</v>
      </c>
      <c r="L45" s="1951">
        <f t="shared" si="3"/>
        <v>1.4234309168833597E-11</v>
      </c>
      <c r="M45" s="1952">
        <v>5.1243513007800901E-8</v>
      </c>
      <c r="N45" s="1953">
        <v>5.1243513007800998E-5</v>
      </c>
      <c r="O45" s="1953">
        <v>1.2238718177167601E-8</v>
      </c>
      <c r="P45" s="1952">
        <v>1.42343091688336E-11</v>
      </c>
      <c r="Q45" s="1954">
        <f t="shared" si="4"/>
        <v>9.0396055196133412E-16</v>
      </c>
      <c r="R45" s="1955">
        <f t="shared" si="5"/>
        <v>-9.2565560520840615E-16</v>
      </c>
      <c r="S45" s="1955">
        <f t="shared" si="6"/>
        <v>3.9200572178857531E-15</v>
      </c>
      <c r="T45" s="1956">
        <f t="shared" si="7"/>
        <v>-2.2699902253493324E-16</v>
      </c>
    </row>
    <row r="46" spans="3:32" ht="15.75" thickTop="1" x14ac:dyDescent="0.25"/>
    <row r="47" spans="3:32" ht="15.75" thickBot="1" x14ac:dyDescent="0.3"/>
    <row r="48" spans="3:32" ht="15.75" thickTop="1" x14ac:dyDescent="0.25">
      <c r="C48" s="2488" t="s">
        <v>0</v>
      </c>
      <c r="D48" s="2489"/>
      <c r="E48" s="2489"/>
      <c r="F48" s="2489"/>
      <c r="G48" s="2489"/>
      <c r="H48" s="2489"/>
      <c r="I48" s="2483" t="s">
        <v>158</v>
      </c>
      <c r="J48" s="2484"/>
      <c r="K48" s="2484"/>
      <c r="L48" s="2484"/>
      <c r="M48" s="2484"/>
      <c r="N48" s="2484"/>
      <c r="O48" s="2484"/>
      <c r="P48" s="2485"/>
      <c r="Q48" s="2488" t="s">
        <v>17</v>
      </c>
      <c r="R48" s="2489"/>
      <c r="S48" s="2489"/>
      <c r="T48" s="2489"/>
      <c r="U48" s="2489"/>
      <c r="V48" s="2489"/>
      <c r="W48" s="2489"/>
      <c r="X48" s="2495"/>
      <c r="Y48" s="2483" t="s">
        <v>8</v>
      </c>
      <c r="Z48" s="2484"/>
      <c r="AA48" s="2484"/>
      <c r="AB48" s="2484"/>
      <c r="AC48" s="2484"/>
      <c r="AD48" s="2484"/>
      <c r="AE48" s="2484"/>
      <c r="AF48" s="2485"/>
    </row>
    <row r="49" spans="3:32" ht="15.75" thickBot="1" x14ac:dyDescent="0.3">
      <c r="C49" s="2486" t="s">
        <v>28</v>
      </c>
      <c r="D49" s="2487"/>
      <c r="E49" s="2487"/>
      <c r="F49" s="2500" t="s">
        <v>45</v>
      </c>
      <c r="G49" s="2487"/>
      <c r="H49" s="2487"/>
      <c r="I49" s="2480" t="s">
        <v>120</v>
      </c>
      <c r="J49" s="2481"/>
      <c r="K49" s="2481"/>
      <c r="L49" s="2481"/>
      <c r="M49" s="2481"/>
      <c r="N49" s="2481"/>
      <c r="O49" s="2481"/>
      <c r="P49" s="2482"/>
      <c r="Q49" s="2486" t="s">
        <v>120</v>
      </c>
      <c r="R49" s="2487"/>
      <c r="S49" s="2487"/>
      <c r="T49" s="2487"/>
      <c r="U49" s="2487"/>
      <c r="V49" s="2487"/>
      <c r="W49" s="2487"/>
      <c r="X49" s="2496"/>
      <c r="Y49" s="2480" t="s">
        <v>120</v>
      </c>
      <c r="Z49" s="2481"/>
      <c r="AA49" s="2481"/>
      <c r="AB49" s="2481"/>
      <c r="AC49" s="2481"/>
      <c r="AD49" s="2481"/>
      <c r="AE49" s="2481"/>
      <c r="AF49" s="2482"/>
    </row>
    <row r="50" spans="3:32" ht="15.75" thickBot="1" x14ac:dyDescent="0.3">
      <c r="C50" s="130" t="s">
        <v>3</v>
      </c>
      <c r="D50" s="569" t="s">
        <v>4</v>
      </c>
      <c r="E50" s="570" t="s">
        <v>30</v>
      </c>
      <c r="F50" s="571" t="s">
        <v>3</v>
      </c>
      <c r="G50" s="569" t="s">
        <v>4</v>
      </c>
      <c r="H50" s="570" t="s">
        <v>10</v>
      </c>
      <c r="I50" s="576" t="s">
        <v>39</v>
      </c>
      <c r="J50" s="574" t="s">
        <v>40</v>
      </c>
      <c r="K50" s="574" t="s">
        <v>41</v>
      </c>
      <c r="L50" s="574" t="s">
        <v>42</v>
      </c>
      <c r="M50" s="574" t="s">
        <v>46</v>
      </c>
      <c r="N50" s="574" t="s">
        <v>43</v>
      </c>
      <c r="O50" s="574" t="s">
        <v>44</v>
      </c>
      <c r="P50" s="575" t="s">
        <v>156</v>
      </c>
      <c r="Q50" s="130" t="s">
        <v>39</v>
      </c>
      <c r="R50" s="78" t="s">
        <v>40</v>
      </c>
      <c r="S50" s="78" t="s">
        <v>41</v>
      </c>
      <c r="T50" s="78" t="s">
        <v>42</v>
      </c>
      <c r="U50" s="78" t="s">
        <v>46</v>
      </c>
      <c r="V50" s="78" t="s">
        <v>43</v>
      </c>
      <c r="W50" s="78" t="s">
        <v>44</v>
      </c>
      <c r="X50" s="572" t="s">
        <v>156</v>
      </c>
      <c r="Y50" s="573" t="s">
        <v>39</v>
      </c>
      <c r="Z50" s="574" t="s">
        <v>40</v>
      </c>
      <c r="AA50" s="574" t="s">
        <v>41</v>
      </c>
      <c r="AB50" s="574" t="s">
        <v>42</v>
      </c>
      <c r="AC50" s="574" t="s">
        <v>46</v>
      </c>
      <c r="AD50" s="574" t="s">
        <v>43</v>
      </c>
      <c r="AE50" s="574" t="s">
        <v>44</v>
      </c>
      <c r="AF50" s="575" t="s">
        <v>156</v>
      </c>
    </row>
    <row r="51" spans="3:32" ht="15.75" thickTop="1" x14ac:dyDescent="0.25">
      <c r="C51" s="1011">
        <v>15.6</v>
      </c>
      <c r="D51" s="58" t="s">
        <v>32</v>
      </c>
      <c r="E51" s="49">
        <f>C51/1000</f>
        <v>1.5599999999999999E-2</v>
      </c>
      <c r="F51" s="1012">
        <v>29</v>
      </c>
      <c r="G51" s="58" t="s">
        <v>25</v>
      </c>
      <c r="H51" s="49">
        <f>F51*1000</f>
        <v>29000</v>
      </c>
      <c r="I51" s="1013">
        <f>L51*100</f>
        <v>18956262.933564052</v>
      </c>
      <c r="J51" s="1014">
        <f>L51/0.3048</f>
        <v>621924.63692795439</v>
      </c>
      <c r="K51" s="1014">
        <f>L51*100/2.54</f>
        <v>7463095.6431354536</v>
      </c>
      <c r="L51" s="1014">
        <f>H51/(E51*9.80665)</f>
        <v>189562.62933564052</v>
      </c>
      <c r="M51" s="1014">
        <f>L51/63360/2.54*100</f>
        <v>117.78875699393076</v>
      </c>
      <c r="N51" s="1014">
        <f>L51*1000</f>
        <v>189562629.33564052</v>
      </c>
      <c r="O51" s="1014">
        <f>L51/0.9144</f>
        <v>207308.21230931816</v>
      </c>
      <c r="P51" s="1015">
        <f>L51*1000000</f>
        <v>189562629335.64053</v>
      </c>
      <c r="Q51" s="1016">
        <v>18956263</v>
      </c>
      <c r="R51" s="1017">
        <v>621925</v>
      </c>
      <c r="S51" s="1017">
        <v>7463096</v>
      </c>
      <c r="T51" s="1017">
        <v>189563</v>
      </c>
      <c r="U51" s="1017">
        <v>117.789</v>
      </c>
      <c r="V51" s="1017">
        <v>189562629</v>
      </c>
      <c r="W51" s="1017">
        <v>207308</v>
      </c>
      <c r="X51" s="1018">
        <v>189562629336</v>
      </c>
      <c r="Y51" s="960">
        <f xml:space="preserve"> (I51-Q51)/I51</f>
        <v>-3.5046964819541262E-9</v>
      </c>
      <c r="Z51" s="961">
        <f t="shared" ref="Z51:AF51" si="9" xml:space="preserve"> (J51-R51)/J51</f>
        <v>-5.837878483259695E-7</v>
      </c>
      <c r="AA51" s="961">
        <f t="shared" si="9"/>
        <v>-4.7817228063248014E-8</v>
      </c>
      <c r="AB51" s="961">
        <f t="shared" si="9"/>
        <v>-1.9553662068144992E-6</v>
      </c>
      <c r="AC51" s="961">
        <f t="shared" si="9"/>
        <v>-2.0630667598687538E-6</v>
      </c>
      <c r="AD51" s="961">
        <f t="shared" si="9"/>
        <v>1.7706048973562182E-9</v>
      </c>
      <c r="AE51" s="961">
        <f t="shared" si="9"/>
        <v>1.0241240122282128E-6</v>
      </c>
      <c r="AF51" s="962">
        <f t="shared" si="9"/>
        <v>-1.8962944014555829E-12</v>
      </c>
    </row>
    <row r="52" spans="3:32" x14ac:dyDescent="0.25">
      <c r="C52" s="71">
        <v>1356</v>
      </c>
      <c r="D52" s="59" t="s">
        <v>30</v>
      </c>
      <c r="E52" s="32">
        <f>C52</f>
        <v>1356</v>
      </c>
      <c r="F52" s="972">
        <v>900</v>
      </c>
      <c r="G52" s="59" t="s">
        <v>25</v>
      </c>
      <c r="H52" s="32">
        <f>F52*1000</f>
        <v>900000</v>
      </c>
      <c r="I52" s="888">
        <f t="shared" ref="I52:I70" si="10">L52*100</f>
        <v>6768.027962242887</v>
      </c>
      <c r="J52" s="903">
        <f t="shared" ref="J52:J70" si="11">L52/0.3048</f>
        <v>222.04816149090834</v>
      </c>
      <c r="K52" s="903">
        <f t="shared" ref="K52:K70" si="12">L52*100/2.54</f>
        <v>2664.5779378909006</v>
      </c>
      <c r="L52" s="925">
        <f t="shared" ref="L52:L70" si="13">H52/(E52*9.80665)</f>
        <v>67.68027962242887</v>
      </c>
      <c r="M52" s="925">
        <f t="shared" ref="M52:M70" si="14">L52/63360/2.54*100</f>
        <v>4.2054576039944773E-2</v>
      </c>
      <c r="N52" s="903">
        <f t="shared" ref="N52:N70" si="15">L52*1000</f>
        <v>67680.279622428876</v>
      </c>
      <c r="O52" s="925">
        <f t="shared" ref="O52:O70" si="16">L52/0.9144</f>
        <v>74.016053830302795</v>
      </c>
      <c r="P52" s="896">
        <f t="shared" ref="P52:P70" si="17">L52*1000000</f>
        <v>67680279.622428864</v>
      </c>
      <c r="Q52" s="1019">
        <v>6768.03</v>
      </c>
      <c r="R52" s="1020">
        <v>222.048</v>
      </c>
      <c r="S52" s="1020">
        <v>2664.58</v>
      </c>
      <c r="T52" s="1020">
        <v>67.680300000000003</v>
      </c>
      <c r="U52" s="1020">
        <v>4.2054599999999998E-2</v>
      </c>
      <c r="V52" s="1020">
        <v>67680.3</v>
      </c>
      <c r="W52" s="1020">
        <v>74.016099999999994</v>
      </c>
      <c r="X52" s="1021">
        <v>67680280</v>
      </c>
      <c r="Y52" s="960">
        <f t="shared" ref="Y52:Y70" si="18" xml:space="preserve"> (I52-Q52)/I52</f>
        <v>-3.0108579989192581E-7</v>
      </c>
      <c r="Z52" s="961">
        <f t="shared" ref="Z52:Z70" si="19" xml:space="preserve"> (J52-R52)/J52</f>
        <v>7.2727874554668797E-7</v>
      </c>
      <c r="AA52" s="961">
        <f t="shared" ref="AA52:AA70" si="20" xml:space="preserve"> (K52-S52)/K52</f>
        <v>-7.7389708518048337E-7</v>
      </c>
      <c r="AB52" s="961">
        <f t="shared" ref="AB52:AB70" si="21" xml:space="preserve"> (L52-T52)/L52</f>
        <v>-3.01085799975914E-7</v>
      </c>
      <c r="AC52" s="961">
        <f t="shared" ref="AC52:AC70" si="22" xml:space="preserve"> (M52-U52)/M52</f>
        <v>-5.6973717204601451E-7</v>
      </c>
      <c r="AD52" s="961">
        <f t="shared" ref="AD52:AD70" si="23" xml:space="preserve"> (N52-V52)/N52</f>
        <v>-3.0108579989192581E-7</v>
      </c>
      <c r="AE52" s="961">
        <f t="shared" ref="AE52:AE70" si="24" xml:space="preserve"> (O52-W52)/O52</f>
        <v>-6.2377950201816762E-7</v>
      </c>
      <c r="AF52" s="962">
        <f t="shared" ref="AF52:AF70" si="25" xml:space="preserve"> (P52-X52)/P52</f>
        <v>-5.5787466875983278E-9</v>
      </c>
    </row>
    <row r="53" spans="3:32" x14ac:dyDescent="0.25">
      <c r="C53" s="71">
        <v>496</v>
      </c>
      <c r="D53" s="59" t="s">
        <v>33</v>
      </c>
      <c r="E53" s="32">
        <f>C53*0.45359237</f>
        <v>224.98181552</v>
      </c>
      <c r="F53" s="972">
        <v>5620</v>
      </c>
      <c r="G53" s="59" t="s">
        <v>25</v>
      </c>
      <c r="H53" s="32">
        <f>F53*1000</f>
        <v>5620000</v>
      </c>
      <c r="I53" s="888">
        <f t="shared" si="10"/>
        <v>254723.03633475263</v>
      </c>
      <c r="J53" s="903">
        <f t="shared" si="11"/>
        <v>8357.0549978593372</v>
      </c>
      <c r="K53" s="903">
        <f t="shared" si="12"/>
        <v>100284.65997431206</v>
      </c>
      <c r="L53" s="903">
        <f t="shared" si="13"/>
        <v>2547.2303633475262</v>
      </c>
      <c r="M53" s="925">
        <f t="shared" si="14"/>
        <v>1.5827755677763895</v>
      </c>
      <c r="N53" s="903">
        <f t="shared" si="15"/>
        <v>2547230.3633475262</v>
      </c>
      <c r="O53" s="903">
        <f t="shared" si="16"/>
        <v>2785.6849992864459</v>
      </c>
      <c r="P53" s="896">
        <f t="shared" si="17"/>
        <v>2547230363.3475261</v>
      </c>
      <c r="Q53" s="1019">
        <v>254723</v>
      </c>
      <c r="R53" s="1020">
        <v>8357.0499999999993</v>
      </c>
      <c r="S53" s="1020">
        <v>100285</v>
      </c>
      <c r="T53" s="1020">
        <v>2547.23</v>
      </c>
      <c r="U53" s="1020">
        <v>1.5827800000000001</v>
      </c>
      <c r="V53" s="1020">
        <v>2547230</v>
      </c>
      <c r="W53" s="1020">
        <v>2785.68</v>
      </c>
      <c r="X53" s="1021">
        <v>2547230363</v>
      </c>
      <c r="Y53" s="960">
        <f t="shared" si="18"/>
        <v>1.4264415638205133E-7</v>
      </c>
      <c r="Z53" s="961">
        <f t="shared" si="19"/>
        <v>5.9804073793593435E-7</v>
      </c>
      <c r="AA53" s="961">
        <f t="shared" si="20"/>
        <v>-3.3906051835503563E-6</v>
      </c>
      <c r="AB53" s="961">
        <f t="shared" si="21"/>
        <v>1.4264415635348715E-7</v>
      </c>
      <c r="AC53" s="961">
        <f t="shared" si="22"/>
        <v>-2.8002855874253258E-6</v>
      </c>
      <c r="AD53" s="961">
        <f t="shared" si="23"/>
        <v>1.4264415633634863E-7</v>
      </c>
      <c r="AE53" s="961">
        <f t="shared" si="24"/>
        <v>1.7946345144253535E-6</v>
      </c>
      <c r="AF53" s="962">
        <f t="shared" si="25"/>
        <v>1.3643291885037748E-10</v>
      </c>
    </row>
    <row r="54" spans="3:32" x14ac:dyDescent="0.25">
      <c r="C54" s="71">
        <v>6</v>
      </c>
      <c r="D54" s="59" t="s">
        <v>34</v>
      </c>
      <c r="E54" s="32">
        <f>C54*1000</f>
        <v>6000</v>
      </c>
      <c r="F54" s="972">
        <v>196</v>
      </c>
      <c r="G54" s="59" t="s">
        <v>25</v>
      </c>
      <c r="H54" s="32">
        <f>F54*1000</f>
        <v>196000</v>
      </c>
      <c r="I54" s="888">
        <f t="shared" si="10"/>
        <v>333.10729623945662</v>
      </c>
      <c r="J54" s="951">
        <f t="shared" si="11"/>
        <v>10.928717068223641</v>
      </c>
      <c r="K54" s="925">
        <f t="shared" si="12"/>
        <v>131.14460481868372</v>
      </c>
      <c r="L54" s="925">
        <f t="shared" si="13"/>
        <v>3.3310729623945661</v>
      </c>
      <c r="M54" s="925">
        <f t="shared" si="14"/>
        <v>2.0698327780726594E-3</v>
      </c>
      <c r="N54" s="903">
        <f t="shared" si="15"/>
        <v>3331.0729623945663</v>
      </c>
      <c r="O54" s="925">
        <f t="shared" si="16"/>
        <v>3.6429056894078808</v>
      </c>
      <c r="P54" s="896">
        <f t="shared" si="17"/>
        <v>3331072.9623945663</v>
      </c>
      <c r="Q54" s="1019">
        <v>333.10700000000003</v>
      </c>
      <c r="R54" s="1020">
        <v>10.928699999999999</v>
      </c>
      <c r="S54" s="1020">
        <v>131.14500000000001</v>
      </c>
      <c r="T54" s="1020">
        <v>3.33107</v>
      </c>
      <c r="U54" s="1020">
        <v>2.0698299999999999E-3</v>
      </c>
      <c r="V54" s="1020">
        <v>3331.07</v>
      </c>
      <c r="W54" s="1020">
        <v>3.6429100000000001</v>
      </c>
      <c r="X54" s="1021">
        <v>3331073</v>
      </c>
      <c r="Y54" s="960">
        <f t="shared" si="18"/>
        <v>8.8932142865899811E-7</v>
      </c>
      <c r="Z54" s="961">
        <f t="shared" si="19"/>
        <v>1.5617774286779085E-6</v>
      </c>
      <c r="AA54" s="961">
        <f t="shared" si="20"/>
        <v>-3.0133249998286766E-6</v>
      </c>
      <c r="AB54" s="961">
        <f t="shared" si="21"/>
        <v>8.8932142872299039E-7</v>
      </c>
      <c r="AC54" s="961">
        <f t="shared" si="22"/>
        <v>1.3421725121623873E-6</v>
      </c>
      <c r="AD54" s="961">
        <f t="shared" si="23"/>
        <v>8.8932142872725647E-7</v>
      </c>
      <c r="AE54" s="961">
        <f t="shared" si="24"/>
        <v>-1.1832840284016616E-6</v>
      </c>
      <c r="AF54" s="962">
        <f t="shared" si="25"/>
        <v>-1.1289285509311591E-8</v>
      </c>
    </row>
    <row r="55" spans="3:32" ht="15.75" thickBot="1" x14ac:dyDescent="0.3">
      <c r="C55" s="906">
        <v>7.9</v>
      </c>
      <c r="D55" s="60" t="s">
        <v>35</v>
      </c>
      <c r="E55" s="1022">
        <f>C55*31.1034768/1000</f>
        <v>0.24571746672</v>
      </c>
      <c r="F55" s="1023">
        <v>5</v>
      </c>
      <c r="G55" s="60" t="s">
        <v>25</v>
      </c>
      <c r="H55" s="55">
        <f>F55*1000</f>
        <v>5000</v>
      </c>
      <c r="I55" s="1024">
        <f t="shared" si="10"/>
        <v>207497.70592009145</v>
      </c>
      <c r="J55" s="1025">
        <f t="shared" si="11"/>
        <v>6807.6675170633671</v>
      </c>
      <c r="K55" s="1025">
        <f t="shared" si="12"/>
        <v>81692.010204760416</v>
      </c>
      <c r="L55" s="1025">
        <f t="shared" si="13"/>
        <v>2074.9770592009145</v>
      </c>
      <c r="M55" s="929">
        <f t="shared" si="14"/>
        <v>1.2893309691407895</v>
      </c>
      <c r="N55" s="1025">
        <f t="shared" si="15"/>
        <v>2074977.0592009146</v>
      </c>
      <c r="O55" s="1025">
        <f t="shared" si="16"/>
        <v>2269.2225056877892</v>
      </c>
      <c r="P55" s="1026">
        <f t="shared" si="17"/>
        <v>2074977059.2009144</v>
      </c>
      <c r="Q55" s="1027">
        <v>207498</v>
      </c>
      <c r="R55" s="1028">
        <v>6807.67</v>
      </c>
      <c r="S55" s="1028">
        <v>81692</v>
      </c>
      <c r="T55" s="1028">
        <v>2074.98</v>
      </c>
      <c r="U55" s="1028">
        <v>1.2893300000000001</v>
      </c>
      <c r="V55" s="1028">
        <v>2074977</v>
      </c>
      <c r="W55" s="1028">
        <v>2269.2199999999998</v>
      </c>
      <c r="X55" s="1029">
        <v>2074977059</v>
      </c>
      <c r="Y55" s="1030">
        <f t="shared" si="18"/>
        <v>-1.417268240360246E-6</v>
      </c>
      <c r="Z55" s="1009">
        <f t="shared" si="19"/>
        <v>-3.647264833018591E-7</v>
      </c>
      <c r="AA55" s="1009">
        <f t="shared" si="20"/>
        <v>1.2491748446839595E-7</v>
      </c>
      <c r="AB55" s="1009">
        <f t="shared" si="21"/>
        <v>-1.4172682403865449E-6</v>
      </c>
      <c r="AC55" s="1009">
        <f t="shared" si="22"/>
        <v>7.5166176303304576E-7</v>
      </c>
      <c r="AD55" s="1009">
        <f t="shared" si="23"/>
        <v>2.8530876673618876E-8</v>
      </c>
      <c r="AE55" s="1009">
        <f t="shared" si="24"/>
        <v>1.1042054197417089E-6</v>
      </c>
      <c r="AF55" s="1010">
        <f t="shared" si="25"/>
        <v>9.6827279146856498E-11</v>
      </c>
    </row>
    <row r="56" spans="3:32" ht="15.75" thickTop="1" x14ac:dyDescent="0.25">
      <c r="C56" s="1255">
        <v>7123</v>
      </c>
      <c r="D56" s="1256" t="s">
        <v>32</v>
      </c>
      <c r="E56" s="1257">
        <f>C56/1000</f>
        <v>7.1230000000000002</v>
      </c>
      <c r="F56" s="1395">
        <v>2640</v>
      </c>
      <c r="G56" s="1256" t="s">
        <v>10</v>
      </c>
      <c r="H56" s="1257">
        <f>F56</f>
        <v>2640</v>
      </c>
      <c r="I56" s="1396">
        <f t="shared" si="10"/>
        <v>3779.3777934321638</v>
      </c>
      <c r="J56" s="1316">
        <f t="shared" si="11"/>
        <v>123.9953344301891</v>
      </c>
      <c r="K56" s="1260">
        <f t="shared" si="12"/>
        <v>1487.9440131622691</v>
      </c>
      <c r="L56" s="1316">
        <f t="shared" si="13"/>
        <v>37.793777934321639</v>
      </c>
      <c r="M56" s="1316">
        <f t="shared" si="14"/>
        <v>2.3483964854202479E-2</v>
      </c>
      <c r="N56" s="1260">
        <f t="shared" si="15"/>
        <v>37793.777934321639</v>
      </c>
      <c r="O56" s="1316">
        <f t="shared" si="16"/>
        <v>41.33177814339637</v>
      </c>
      <c r="P56" s="1397">
        <f t="shared" si="17"/>
        <v>37793777.934321642</v>
      </c>
      <c r="Q56" s="1398">
        <v>3779.38</v>
      </c>
      <c r="R56" s="1399">
        <v>123.995</v>
      </c>
      <c r="S56" s="1399">
        <v>1487.94</v>
      </c>
      <c r="T56" s="1399">
        <v>37.793799999999997</v>
      </c>
      <c r="U56" s="1399">
        <v>2.3484000000000001E-2</v>
      </c>
      <c r="V56" s="1399">
        <v>37793.800000000003</v>
      </c>
      <c r="W56" s="1399">
        <v>41.331800000000001</v>
      </c>
      <c r="X56" s="1400">
        <v>37793778</v>
      </c>
      <c r="Y56" s="1319">
        <f t="shared" si="18"/>
        <v>-5.8384420846869614E-7</v>
      </c>
      <c r="Z56" s="1320">
        <f t="shared" si="19"/>
        <v>2.6971191346506244E-6</v>
      </c>
      <c r="AA56" s="1320">
        <f t="shared" si="20"/>
        <v>2.6971191345742194E-6</v>
      </c>
      <c r="AB56" s="1320">
        <f t="shared" si="21"/>
        <v>-5.838442083408525E-7</v>
      </c>
      <c r="AC56" s="1320">
        <f t="shared" si="22"/>
        <v>-1.4965870431370221E-6</v>
      </c>
      <c r="AD56" s="1320">
        <f t="shared" si="23"/>
        <v>-5.8384420849276077E-7</v>
      </c>
      <c r="AE56" s="1320">
        <f t="shared" si="24"/>
        <v>-5.2880869424818987E-7</v>
      </c>
      <c r="AF56" s="1321">
        <f t="shared" si="25"/>
        <v>-1.7378087523332373E-9</v>
      </c>
    </row>
    <row r="57" spans="3:32" x14ac:dyDescent="0.25">
      <c r="C57" s="1268">
        <v>6300</v>
      </c>
      <c r="D57" s="1269" t="s">
        <v>30</v>
      </c>
      <c r="E57" s="1254">
        <f>C57</f>
        <v>6300</v>
      </c>
      <c r="F57" s="1344">
        <v>94</v>
      </c>
      <c r="G57" s="1269" t="s">
        <v>10</v>
      </c>
      <c r="H57" s="1254">
        <f>F57</f>
        <v>94</v>
      </c>
      <c r="I57" s="1322">
        <f t="shared" si="10"/>
        <v>0.15214813336496075</v>
      </c>
      <c r="J57" s="1323">
        <f t="shared" si="11"/>
        <v>4.9917366589554042E-3</v>
      </c>
      <c r="K57" s="1323">
        <f t="shared" si="12"/>
        <v>5.9900839907464858E-2</v>
      </c>
      <c r="L57" s="1323">
        <f t="shared" si="13"/>
        <v>1.5214813336496074E-3</v>
      </c>
      <c r="M57" s="1323">
        <f t="shared" si="14"/>
        <v>9.4540467025670539E-7</v>
      </c>
      <c r="N57" s="1323">
        <f t="shared" si="15"/>
        <v>1.5214813336496074</v>
      </c>
      <c r="O57" s="1323">
        <f t="shared" si="16"/>
        <v>1.6639122196518016E-3</v>
      </c>
      <c r="P57" s="1324">
        <f t="shared" si="17"/>
        <v>1521.4813336496074</v>
      </c>
      <c r="Q57" s="1401">
        <v>0.15214800000000001</v>
      </c>
      <c r="R57" s="1402">
        <v>4.9917399999999997E-3</v>
      </c>
      <c r="S57" s="1402">
        <v>5.9900799999999997E-2</v>
      </c>
      <c r="T57" s="1402">
        <v>1.52148E-3</v>
      </c>
      <c r="U57" s="1403">
        <v>9.4540467025670496E-7</v>
      </c>
      <c r="V57" s="1402">
        <v>1.5214799999999999</v>
      </c>
      <c r="W57" s="1402">
        <v>1.66391E-3</v>
      </c>
      <c r="X57" s="1404">
        <v>1521.48</v>
      </c>
      <c r="Y57" s="1319">
        <f t="shared" si="18"/>
        <v>8.765468086398496E-7</v>
      </c>
      <c r="Z57" s="1320">
        <f t="shared" si="19"/>
        <v>-6.6931507484552527E-7</v>
      </c>
      <c r="AA57" s="1320">
        <f t="shared" si="20"/>
        <v>6.6622546398578712E-7</v>
      </c>
      <c r="AB57" s="1320">
        <f t="shared" si="21"/>
        <v>8.765468086398496E-7</v>
      </c>
      <c r="AC57" s="1320">
        <f t="shared" si="22"/>
        <v>4.479737481222225E-16</v>
      </c>
      <c r="AD57" s="1320">
        <f t="shared" si="23"/>
        <v>8.7654680863984971E-7</v>
      </c>
      <c r="AE57" s="1320">
        <f t="shared" si="24"/>
        <v>1.3339957332711237E-6</v>
      </c>
      <c r="AF57" s="1321">
        <f t="shared" si="25"/>
        <v>8.7654680865035726E-7</v>
      </c>
    </row>
    <row r="58" spans="3:32" x14ac:dyDescent="0.25">
      <c r="C58" s="1268">
        <v>389</v>
      </c>
      <c r="D58" s="1269" t="s">
        <v>33</v>
      </c>
      <c r="E58" s="1254">
        <f>C58*0.45359237</f>
        <v>176.44743193000002</v>
      </c>
      <c r="F58" s="1344">
        <v>6</v>
      </c>
      <c r="G58" s="1269" t="s">
        <v>10</v>
      </c>
      <c r="H58" s="1254">
        <f>F58</f>
        <v>6</v>
      </c>
      <c r="I58" s="1322">
        <f t="shared" si="10"/>
        <v>0.34674901249312667</v>
      </c>
      <c r="J58" s="1323">
        <f t="shared" si="11"/>
        <v>1.137627993743854E-2</v>
      </c>
      <c r="K58" s="1323">
        <f t="shared" si="12"/>
        <v>0.13651535924926247</v>
      </c>
      <c r="L58" s="1323">
        <f t="shared" si="13"/>
        <v>3.4674901249312669E-3</v>
      </c>
      <c r="M58" s="1323">
        <f t="shared" si="14"/>
        <v>2.1545984729997234E-6</v>
      </c>
      <c r="N58" s="1323">
        <f t="shared" si="15"/>
        <v>3.4674901249312668</v>
      </c>
      <c r="O58" s="1323">
        <f t="shared" si="16"/>
        <v>3.792093312479513E-3</v>
      </c>
      <c r="P58" s="1324">
        <f t="shared" si="17"/>
        <v>3467.490124931267</v>
      </c>
      <c r="Q58" s="1401">
        <v>0.34674899999999997</v>
      </c>
      <c r="R58" s="1402">
        <v>1.1376300000000001E-2</v>
      </c>
      <c r="S58" s="1402">
        <v>0.136515</v>
      </c>
      <c r="T58" s="1402">
        <v>3.4674900000000002E-3</v>
      </c>
      <c r="U58" s="1403">
        <v>2.15459847299972E-6</v>
      </c>
      <c r="V58" s="1402">
        <v>3.4674900000000002</v>
      </c>
      <c r="W58" s="1402">
        <v>3.7920900000000001E-3</v>
      </c>
      <c r="X58" s="1404">
        <v>3467.49</v>
      </c>
      <c r="Y58" s="1319">
        <f t="shared" si="18"/>
        <v>3.6029307221364484E-8</v>
      </c>
      <c r="Z58" s="1320">
        <f t="shared" si="19"/>
        <v>-1.7635432295469979E-6</v>
      </c>
      <c r="AA58" s="1320">
        <f t="shared" si="20"/>
        <v>2.6315666197028477E-6</v>
      </c>
      <c r="AB58" s="1320">
        <f t="shared" si="21"/>
        <v>3.6029307141319334E-8</v>
      </c>
      <c r="AC58" s="1320">
        <f t="shared" si="22"/>
        <v>1.5725119234397769E-15</v>
      </c>
      <c r="AD58" s="1320">
        <f t="shared" si="23"/>
        <v>3.6029307125310305E-8</v>
      </c>
      <c r="AE58" s="1320">
        <f t="shared" si="24"/>
        <v>8.7352267994191512E-7</v>
      </c>
      <c r="AF58" s="1321">
        <f t="shared" si="25"/>
        <v>3.6029307290267345E-8</v>
      </c>
    </row>
    <row r="59" spans="3:32" x14ac:dyDescent="0.25">
      <c r="C59" s="1268">
        <v>8</v>
      </c>
      <c r="D59" s="1269" t="s">
        <v>34</v>
      </c>
      <c r="E59" s="1254">
        <f>C59*1000</f>
        <v>8000</v>
      </c>
      <c r="F59" s="1344">
        <v>168</v>
      </c>
      <c r="G59" s="1269" t="s">
        <v>10</v>
      </c>
      <c r="H59" s="1254">
        <f>F59</f>
        <v>168</v>
      </c>
      <c r="I59" s="1322">
        <f t="shared" si="10"/>
        <v>0.21414040472536494</v>
      </c>
      <c r="J59" s="1323">
        <f t="shared" si="11"/>
        <v>7.0256038295723397E-3</v>
      </c>
      <c r="K59" s="1323">
        <f t="shared" si="12"/>
        <v>8.430724595486809E-2</v>
      </c>
      <c r="L59" s="1323">
        <f t="shared" si="13"/>
        <v>2.1414040472536493E-3</v>
      </c>
      <c r="M59" s="1323">
        <f t="shared" si="14"/>
        <v>1.3306067859038525E-6</v>
      </c>
      <c r="N59" s="1323">
        <f t="shared" si="15"/>
        <v>2.1414040472536495</v>
      </c>
      <c r="O59" s="1323">
        <f t="shared" si="16"/>
        <v>2.3418679431907799E-3</v>
      </c>
      <c r="P59" s="1324">
        <f t="shared" si="17"/>
        <v>2141.4040472536494</v>
      </c>
      <c r="Q59" s="1401">
        <v>0.21414</v>
      </c>
      <c r="R59" s="1402">
        <v>7.0255999999999999E-3</v>
      </c>
      <c r="S59" s="1402">
        <v>8.4307199999999999E-2</v>
      </c>
      <c r="T59" s="1402">
        <v>2.1413999999999999E-3</v>
      </c>
      <c r="U59" s="1403">
        <v>1.33060678590385E-6</v>
      </c>
      <c r="V59" s="1402">
        <v>2.1414</v>
      </c>
      <c r="W59" s="1402">
        <v>2.3418699999999998E-3</v>
      </c>
      <c r="X59" s="1404">
        <v>2141.4</v>
      </c>
      <c r="Y59" s="1319">
        <f t="shared" si="18"/>
        <v>1.8900000000618329E-6</v>
      </c>
      <c r="Z59" s="1320">
        <f t="shared" si="19"/>
        <v>5.4508799993502174E-7</v>
      </c>
      <c r="AA59" s="1320">
        <f t="shared" si="20"/>
        <v>5.4508800009963126E-7</v>
      </c>
      <c r="AB59" s="1320">
        <f t="shared" si="21"/>
        <v>1.8900000000456313E-6</v>
      </c>
      <c r="AC59" s="1320">
        <f t="shared" si="22"/>
        <v>1.9097293570743272E-15</v>
      </c>
      <c r="AD59" s="1320">
        <f t="shared" si="23"/>
        <v>1.8900000001136783E-6</v>
      </c>
      <c r="AE59" s="1320">
        <f t="shared" si="24"/>
        <v>-8.7827719999479668E-7</v>
      </c>
      <c r="AF59" s="1321">
        <f t="shared" si="25"/>
        <v>1.8900000000108167E-6</v>
      </c>
    </row>
    <row r="60" spans="3:32" ht="15.75" thickBot="1" x14ac:dyDescent="0.3">
      <c r="C60" s="1405">
        <v>8</v>
      </c>
      <c r="D60" s="1287" t="s">
        <v>35</v>
      </c>
      <c r="E60" s="1406">
        <f>C60*31.1034768/1000</f>
        <v>0.24882781439999999</v>
      </c>
      <c r="F60" s="1407">
        <v>19</v>
      </c>
      <c r="G60" s="1287" t="s">
        <v>10</v>
      </c>
      <c r="H60" s="1309">
        <f>F60</f>
        <v>19</v>
      </c>
      <c r="I60" s="1290">
        <f t="shared" si="10"/>
        <v>778.63514146514319</v>
      </c>
      <c r="J60" s="1295">
        <f t="shared" si="11"/>
        <v>25.545772357780287</v>
      </c>
      <c r="K60" s="1295">
        <f t="shared" si="12"/>
        <v>306.54926829336347</v>
      </c>
      <c r="L60" s="1295">
        <f>H60/(E60*9.80665)</f>
        <v>7.7863514146514321</v>
      </c>
      <c r="M60" s="1326">
        <f t="shared" si="14"/>
        <v>4.8382144617008125E-3</v>
      </c>
      <c r="N60" s="1295">
        <f t="shared" si="15"/>
        <v>7786.3514146514317</v>
      </c>
      <c r="O60" s="1295">
        <f t="shared" si="16"/>
        <v>8.5152574525934295</v>
      </c>
      <c r="P60" s="1408">
        <f t="shared" si="17"/>
        <v>7786351.4146514321</v>
      </c>
      <c r="Q60" s="1409">
        <v>778.63499999999999</v>
      </c>
      <c r="R60" s="1410">
        <v>25.5458</v>
      </c>
      <c r="S60" s="1410">
        <v>306.54899999999998</v>
      </c>
      <c r="T60" s="1410">
        <v>7.7863499999999997</v>
      </c>
      <c r="U60" s="1410">
        <v>4.8382099999999999E-3</v>
      </c>
      <c r="V60" s="1410">
        <v>7786.35</v>
      </c>
      <c r="W60" s="1410">
        <v>8.5152599999999996</v>
      </c>
      <c r="X60" s="1411">
        <v>7786351</v>
      </c>
      <c r="Y60" s="1367">
        <f t="shared" si="18"/>
        <v>1.8168348134822898E-7</v>
      </c>
      <c r="Z60" s="1368">
        <f t="shared" si="19"/>
        <v>-1.0820663132061338E-6</v>
      </c>
      <c r="AA60" s="1368">
        <f t="shared" si="20"/>
        <v>8.7520471010666002E-7</v>
      </c>
      <c r="AB60" s="1368">
        <f t="shared" si="21"/>
        <v>1.816834814029819E-7</v>
      </c>
      <c r="AC60" s="1368">
        <f t="shared" si="22"/>
        <v>9.2217921465576552E-7</v>
      </c>
      <c r="AD60" s="1368">
        <f t="shared" si="23"/>
        <v>1.8168348126062428E-7</v>
      </c>
      <c r="AE60" s="1368">
        <f t="shared" si="24"/>
        <v>-2.991579038346587E-7</v>
      </c>
      <c r="AF60" s="1369">
        <f t="shared" si="25"/>
        <v>5.3253624193529791E-8</v>
      </c>
    </row>
    <row r="61" spans="3:32" ht="15.75" thickTop="1" x14ac:dyDescent="0.25">
      <c r="C61" s="128">
        <v>944</v>
      </c>
      <c r="D61" s="146" t="s">
        <v>32</v>
      </c>
      <c r="E61" s="147">
        <f>C61/1000</f>
        <v>0.94399999999999995</v>
      </c>
      <c r="F61" s="123">
        <v>1690</v>
      </c>
      <c r="G61" s="146" t="s">
        <v>11</v>
      </c>
      <c r="H61" s="147">
        <f>F61*4.187*1000</f>
        <v>7076030.0000000009</v>
      </c>
      <c r="I61" s="325">
        <f t="shared" si="10"/>
        <v>76435831.721591219</v>
      </c>
      <c r="J61" s="150">
        <f t="shared" si="11"/>
        <v>2507737.2612070609</v>
      </c>
      <c r="K61" s="150">
        <f t="shared" si="12"/>
        <v>30092847.134484731</v>
      </c>
      <c r="L61" s="150">
        <f t="shared" si="13"/>
        <v>764358.31721591216</v>
      </c>
      <c r="M61" s="538">
        <f t="shared" si="14"/>
        <v>474.95023886497358</v>
      </c>
      <c r="N61" s="150">
        <f t="shared" si="15"/>
        <v>764358317.2159121</v>
      </c>
      <c r="O61" s="150">
        <f t="shared" si="16"/>
        <v>835912.42040235363</v>
      </c>
      <c r="P61" s="539">
        <f t="shared" si="17"/>
        <v>764358317215.91211</v>
      </c>
      <c r="Q61" s="540">
        <v>76435832</v>
      </c>
      <c r="R61" s="541">
        <v>2507737</v>
      </c>
      <c r="S61" s="541">
        <v>30092847</v>
      </c>
      <c r="T61" s="541">
        <v>764358</v>
      </c>
      <c r="U61" s="541">
        <v>474.95</v>
      </c>
      <c r="V61" s="541">
        <v>764358317</v>
      </c>
      <c r="W61" s="541">
        <v>835912</v>
      </c>
      <c r="X61" s="542">
        <v>764358317216</v>
      </c>
      <c r="Y61" s="200">
        <f t="shared" si="18"/>
        <v>-3.6423857034496601E-9</v>
      </c>
      <c r="Z61" s="201">
        <f t="shared" si="19"/>
        <v>1.0416045768793242E-7</v>
      </c>
      <c r="AA61" s="201">
        <f t="shared" si="20"/>
        <v>4.4689932481265076E-9</v>
      </c>
      <c r="AB61" s="201">
        <f t="shared" si="21"/>
        <v>4.1500943342369368E-7</v>
      </c>
      <c r="AC61" s="201">
        <f t="shared" si="22"/>
        <v>5.0292631532747325E-7</v>
      </c>
      <c r="AD61" s="201">
        <f t="shared" si="23"/>
        <v>2.8247498429714126E-10</v>
      </c>
      <c r="AE61" s="201">
        <f t="shared" si="24"/>
        <v>5.0292631544715615E-7</v>
      </c>
      <c r="AF61" s="202">
        <f t="shared" si="25"/>
        <v>-1.149861563881866E-13</v>
      </c>
    </row>
    <row r="62" spans="3:32" x14ac:dyDescent="0.25">
      <c r="C62" s="72">
        <v>599</v>
      </c>
      <c r="D62" s="62" t="s">
        <v>30</v>
      </c>
      <c r="E62" s="34">
        <f>C62</f>
        <v>599</v>
      </c>
      <c r="F62" s="284">
        <v>15.5</v>
      </c>
      <c r="G62" s="62" t="s">
        <v>11</v>
      </c>
      <c r="H62" s="34">
        <f>F62*4.187*1000</f>
        <v>64898.5</v>
      </c>
      <c r="I62" s="33">
        <f t="shared" si="10"/>
        <v>1104.8088922862785</v>
      </c>
      <c r="J62" s="454">
        <f t="shared" si="11"/>
        <v>36.24701090178079</v>
      </c>
      <c r="K62" s="454">
        <f t="shared" si="12"/>
        <v>434.96413082136945</v>
      </c>
      <c r="L62" s="454">
        <f t="shared" si="13"/>
        <v>11.048088922862785</v>
      </c>
      <c r="M62" s="454">
        <f t="shared" si="14"/>
        <v>6.8649641859433322E-3</v>
      </c>
      <c r="N62" s="154">
        <f t="shared" si="15"/>
        <v>11048.088922862786</v>
      </c>
      <c r="O62" s="454">
        <f t="shared" si="16"/>
        <v>12.082336967260265</v>
      </c>
      <c r="P62" s="37">
        <f t="shared" si="17"/>
        <v>11048088.922862785</v>
      </c>
      <c r="Q62" s="292">
        <v>1104.81</v>
      </c>
      <c r="R62" s="521">
        <v>36.247</v>
      </c>
      <c r="S62" s="521">
        <v>434.964</v>
      </c>
      <c r="T62" s="521">
        <v>11.0481</v>
      </c>
      <c r="U62" s="521">
        <v>6.8649599999999998E-3</v>
      </c>
      <c r="V62" s="521">
        <v>11048.1</v>
      </c>
      <c r="W62" s="521">
        <v>12.0823</v>
      </c>
      <c r="X62" s="293">
        <v>11048089</v>
      </c>
      <c r="Y62" s="190">
        <f t="shared" si="18"/>
        <v>-1.0026292594140131E-6</v>
      </c>
      <c r="Z62" s="191">
        <f t="shared" si="19"/>
        <v>3.0076358074456405E-7</v>
      </c>
      <c r="AA62" s="191">
        <f t="shared" si="20"/>
        <v>3.0076358067922144E-7</v>
      </c>
      <c r="AB62" s="191">
        <f t="shared" si="21"/>
        <v>-1.0026292594075815E-6</v>
      </c>
      <c r="AC62" s="191">
        <f t="shared" si="22"/>
        <v>6.097545768672955E-7</v>
      </c>
      <c r="AD62" s="191">
        <f t="shared" si="23"/>
        <v>-1.0026292594140129E-6</v>
      </c>
      <c r="AE62" s="191">
        <f t="shared" si="24"/>
        <v>3.0596117592686233E-6</v>
      </c>
      <c r="AF62" s="192">
        <f t="shared" si="25"/>
        <v>-6.9819509601655213E-9</v>
      </c>
    </row>
    <row r="63" spans="3:32" x14ac:dyDescent="0.25">
      <c r="C63" s="72">
        <v>9295</v>
      </c>
      <c r="D63" s="62" t="s">
        <v>33</v>
      </c>
      <c r="E63" s="34">
        <f>C63*0.45359237</f>
        <v>4216.1410791500002</v>
      </c>
      <c r="F63" s="284">
        <v>0.9</v>
      </c>
      <c r="G63" s="62" t="s">
        <v>11</v>
      </c>
      <c r="H63" s="34">
        <f>F63*4.187*1000</f>
        <v>3768.3000000000006</v>
      </c>
      <c r="I63" s="287">
        <f t="shared" si="10"/>
        <v>9.1140133435464143</v>
      </c>
      <c r="J63" s="454">
        <f t="shared" si="11"/>
        <v>0.29901618581189021</v>
      </c>
      <c r="K63" s="454">
        <f t="shared" si="12"/>
        <v>3.5881942297426828</v>
      </c>
      <c r="L63" s="454">
        <f t="shared" si="13"/>
        <v>9.1140133435464135E-2</v>
      </c>
      <c r="M63" s="454">
        <f t="shared" si="14"/>
        <v>5.6631853373464057E-5</v>
      </c>
      <c r="N63" s="454">
        <f t="shared" si="15"/>
        <v>91.140133435464136</v>
      </c>
      <c r="O63" s="454">
        <f t="shared" si="16"/>
        <v>9.9672061937296733E-2</v>
      </c>
      <c r="P63" s="37">
        <f t="shared" si="17"/>
        <v>91140.133435464129</v>
      </c>
      <c r="Q63" s="292">
        <v>9.1140100000000004</v>
      </c>
      <c r="R63" s="521">
        <v>0.299016</v>
      </c>
      <c r="S63" s="521">
        <v>3.58819</v>
      </c>
      <c r="T63" s="521">
        <v>9.1140100000000002E-2</v>
      </c>
      <c r="U63" s="522">
        <v>5.6631853373464098E-5</v>
      </c>
      <c r="V63" s="521">
        <v>91.140100000000004</v>
      </c>
      <c r="W63" s="521">
        <v>9.96721E-2</v>
      </c>
      <c r="X63" s="293">
        <v>91140.1</v>
      </c>
      <c r="Y63" s="190">
        <f t="shared" si="18"/>
        <v>3.6685774838437866E-7</v>
      </c>
      <c r="Z63" s="191">
        <f t="shared" si="19"/>
        <v>6.2141080993021383E-7</v>
      </c>
      <c r="AA63" s="191">
        <f t="shared" si="20"/>
        <v>1.1787942379791966E-6</v>
      </c>
      <c r="AB63" s="191">
        <f t="shared" si="21"/>
        <v>3.6685774831738047E-7</v>
      </c>
      <c r="AC63" s="191">
        <f t="shared" si="22"/>
        <v>-7.1792779233422208E-16</v>
      </c>
      <c r="AD63" s="191">
        <f t="shared" si="23"/>
        <v>3.6685774830641711E-7</v>
      </c>
      <c r="AE63" s="191">
        <f t="shared" si="24"/>
        <v>-3.8187936044656772E-7</v>
      </c>
      <c r="AF63" s="192">
        <f t="shared" si="25"/>
        <v>3.6685774820912113E-7</v>
      </c>
    </row>
    <row r="64" spans="3:32" x14ac:dyDescent="0.25">
      <c r="C64" s="93">
        <v>26</v>
      </c>
      <c r="D64" s="62" t="s">
        <v>34</v>
      </c>
      <c r="E64" s="34">
        <f>C64*1000</f>
        <v>26000</v>
      </c>
      <c r="F64" s="108">
        <v>59</v>
      </c>
      <c r="G64" s="62" t="s">
        <v>11</v>
      </c>
      <c r="H64" s="34">
        <f>F64*4.187*1000</f>
        <v>247033.00000000003</v>
      </c>
      <c r="I64" s="33">
        <f t="shared" si="10"/>
        <v>96.88598278483714</v>
      </c>
      <c r="J64" s="454">
        <f t="shared" si="11"/>
        <v>3.1786739758804834</v>
      </c>
      <c r="K64" s="454">
        <f t="shared" si="12"/>
        <v>38.144087710565799</v>
      </c>
      <c r="L64" s="454">
        <f t="shared" si="13"/>
        <v>0.96885982784837144</v>
      </c>
      <c r="M64" s="454">
        <f t="shared" si="14"/>
        <v>6.0202158634100071E-4</v>
      </c>
      <c r="N64" s="154">
        <f t="shared" si="15"/>
        <v>968.85982784837142</v>
      </c>
      <c r="O64" s="454">
        <f t="shared" si="16"/>
        <v>1.0595579919601612</v>
      </c>
      <c r="P64" s="37">
        <f t="shared" si="17"/>
        <v>968859.82784837147</v>
      </c>
      <c r="Q64" s="292">
        <v>96.885999999999996</v>
      </c>
      <c r="R64" s="521">
        <v>3.1786699999999999</v>
      </c>
      <c r="S64" s="521">
        <v>38.144100000000002</v>
      </c>
      <c r="T64" s="521">
        <v>0.96886000000000005</v>
      </c>
      <c r="U64" s="521">
        <v>6.0202200000000002E-4</v>
      </c>
      <c r="V64" s="521">
        <v>968.86</v>
      </c>
      <c r="W64" s="521">
        <v>1.0595600000000001</v>
      </c>
      <c r="X64" s="293">
        <v>968860</v>
      </c>
      <c r="Y64" s="190">
        <f t="shared" si="18"/>
        <v>-1.7768476265925382E-7</v>
      </c>
      <c r="Z64" s="191">
        <f t="shared" si="19"/>
        <v>1.2507984504474147E-6</v>
      </c>
      <c r="AA64" s="191">
        <f t="shared" si="20"/>
        <v>-3.2218450985062758E-7</v>
      </c>
      <c r="AB64" s="191">
        <f t="shared" si="21"/>
        <v>-1.7768476271884095E-7</v>
      </c>
      <c r="AC64" s="191">
        <f t="shared" si="22"/>
        <v>-6.8711655643611543E-7</v>
      </c>
      <c r="AD64" s="191">
        <f t="shared" si="23"/>
        <v>-1.7768476268858903E-7</v>
      </c>
      <c r="AE64" s="191">
        <f t="shared" si="24"/>
        <v>-1.8951674699158215E-6</v>
      </c>
      <c r="AF64" s="192">
        <f t="shared" si="25"/>
        <v>-1.7768476262944922E-7</v>
      </c>
    </row>
    <row r="65" spans="3:32" ht="15.75" thickBot="1" x14ac:dyDescent="0.3">
      <c r="C65" s="106">
        <v>99</v>
      </c>
      <c r="D65" s="63" t="s">
        <v>35</v>
      </c>
      <c r="E65" s="43">
        <f>C65*31.1034768/1000</f>
        <v>3.0792442032</v>
      </c>
      <c r="F65" s="109">
        <v>20</v>
      </c>
      <c r="G65" s="63" t="s">
        <v>11</v>
      </c>
      <c r="H65" s="39">
        <f>F65*4.187*1000</f>
        <v>83740.000000000015</v>
      </c>
      <c r="I65" s="38">
        <f t="shared" si="10"/>
        <v>277311.67143558152</v>
      </c>
      <c r="J65" s="195">
        <f t="shared" si="11"/>
        <v>9098.1519499862698</v>
      </c>
      <c r="K65" s="195">
        <f t="shared" si="12"/>
        <v>109177.82339983524</v>
      </c>
      <c r="L65" s="195">
        <f t="shared" si="13"/>
        <v>2773.116714355815</v>
      </c>
      <c r="M65" s="543">
        <f t="shared" si="14"/>
        <v>1.7231348390125509</v>
      </c>
      <c r="N65" s="195">
        <f t="shared" si="15"/>
        <v>2773116.7143558152</v>
      </c>
      <c r="O65" s="195">
        <f t="shared" si="16"/>
        <v>3032.7173166620901</v>
      </c>
      <c r="P65" s="42">
        <f t="shared" si="17"/>
        <v>2773116714.3558149</v>
      </c>
      <c r="Q65" s="544">
        <v>277312</v>
      </c>
      <c r="R65" s="545">
        <v>9098.15</v>
      </c>
      <c r="S65" s="545">
        <v>109178</v>
      </c>
      <c r="T65" s="545">
        <v>2773.12</v>
      </c>
      <c r="U65" s="545">
        <v>1.7231300000000001</v>
      </c>
      <c r="V65" s="545">
        <v>2773117</v>
      </c>
      <c r="W65" s="545">
        <v>3032.72</v>
      </c>
      <c r="X65" s="546">
        <v>2773116714</v>
      </c>
      <c r="Y65" s="196">
        <f t="shared" si="18"/>
        <v>-1.1848200141699572E-6</v>
      </c>
      <c r="Z65" s="197">
        <f t="shared" si="19"/>
        <v>2.143277317018755E-7</v>
      </c>
      <c r="AA65" s="197">
        <f t="shared" si="20"/>
        <v>-1.6175461212134539E-6</v>
      </c>
      <c r="AB65" s="197">
        <f t="shared" si="21"/>
        <v>-1.1848200141961949E-6</v>
      </c>
      <c r="AC65" s="197">
        <f t="shared" si="22"/>
        <v>2.8082611072134645E-6</v>
      </c>
      <c r="AD65" s="197">
        <f t="shared" si="23"/>
        <v>-1.0300474672388837E-7</v>
      </c>
      <c r="AE65" s="197">
        <f t="shared" si="24"/>
        <v>-8.8479657994735729E-7</v>
      </c>
      <c r="AF65" s="198">
        <f t="shared" si="25"/>
        <v>1.2830867591503806E-10</v>
      </c>
    </row>
    <row r="66" spans="3:32" ht="15.75" thickTop="1" x14ac:dyDescent="0.25">
      <c r="C66" s="203">
        <v>612</v>
      </c>
      <c r="D66" s="204" t="s">
        <v>32</v>
      </c>
      <c r="E66" s="205">
        <f>C66/1000</f>
        <v>0.61199999999999999</v>
      </c>
      <c r="F66" s="366">
        <v>3</v>
      </c>
      <c r="G66" s="204" t="s">
        <v>12</v>
      </c>
      <c r="H66" s="205">
        <f>F66*3600*1000</f>
        <v>10800000</v>
      </c>
      <c r="I66" s="367">
        <f t="shared" si="10"/>
        <v>179949919.93728146</v>
      </c>
      <c r="J66" s="508">
        <f t="shared" si="11"/>
        <v>5903868.7643465046</v>
      </c>
      <c r="K66" s="508">
        <f t="shared" si="12"/>
        <v>70846425.172158048</v>
      </c>
      <c r="L66" s="508">
        <f t="shared" si="13"/>
        <v>1799499.1993728147</v>
      </c>
      <c r="M66" s="508">
        <f t="shared" si="14"/>
        <v>1118.1569629444139</v>
      </c>
      <c r="N66" s="508">
        <f t="shared" si="15"/>
        <v>1799499199.3728147</v>
      </c>
      <c r="O66" s="508">
        <f t="shared" si="16"/>
        <v>1967956.2547821684</v>
      </c>
      <c r="P66" s="378">
        <f t="shared" si="17"/>
        <v>1799499199372.8147</v>
      </c>
      <c r="Q66" s="532">
        <v>179949920</v>
      </c>
      <c r="R66" s="533">
        <v>5903869</v>
      </c>
      <c r="S66" s="533">
        <v>70846425</v>
      </c>
      <c r="T66" s="533">
        <v>1799499</v>
      </c>
      <c r="U66" s="533">
        <v>1118.1600000000001</v>
      </c>
      <c r="V66" s="533">
        <v>1799499199</v>
      </c>
      <c r="W66" s="533">
        <v>1967956</v>
      </c>
      <c r="X66" s="534">
        <v>1799499199373</v>
      </c>
      <c r="Y66" s="460">
        <f t="shared" si="18"/>
        <v>-3.48533305554837E-10</v>
      </c>
      <c r="Z66" s="524">
        <f t="shared" si="19"/>
        <v>-3.9915097171393429E-8</v>
      </c>
      <c r="AA66" s="524">
        <f t="shared" si="20"/>
        <v>2.4300174234413393E-9</v>
      </c>
      <c r="AB66" s="524">
        <f t="shared" si="21"/>
        <v>1.107935001054103E-7</v>
      </c>
      <c r="AC66" s="524">
        <f t="shared" si="22"/>
        <v>-2.7161263461810759E-6</v>
      </c>
      <c r="AD66" s="524">
        <f t="shared" si="23"/>
        <v>2.0717689423473675E-10</v>
      </c>
      <c r="AE66" s="524">
        <f t="shared" si="24"/>
        <v>1.2946536174691743E-7</v>
      </c>
      <c r="AF66" s="550">
        <f t="shared" si="25"/>
        <v>-1.0297461340332031E-13</v>
      </c>
    </row>
    <row r="67" spans="3:32" x14ac:dyDescent="0.25">
      <c r="C67" s="213">
        <v>59</v>
      </c>
      <c r="D67" s="214" t="s">
        <v>30</v>
      </c>
      <c r="E67" s="215">
        <f>C67</f>
        <v>59</v>
      </c>
      <c r="F67" s="354">
        <v>20</v>
      </c>
      <c r="G67" s="214" t="s">
        <v>12</v>
      </c>
      <c r="H67" s="215">
        <f>F67*3600*1000</f>
        <v>72000000</v>
      </c>
      <c r="I67" s="224">
        <f t="shared" si="10"/>
        <v>12443994.463459464</v>
      </c>
      <c r="J67" s="505">
        <f t="shared" si="11"/>
        <v>408267.53489040234</v>
      </c>
      <c r="K67" s="505">
        <f t="shared" si="12"/>
        <v>4899210.4186848281</v>
      </c>
      <c r="L67" s="505">
        <f t="shared" si="13"/>
        <v>124439.94463459463</v>
      </c>
      <c r="M67" s="519">
        <f t="shared" si="14"/>
        <v>77.323396759545886</v>
      </c>
      <c r="N67" s="505">
        <f t="shared" si="15"/>
        <v>124439944.63459463</v>
      </c>
      <c r="O67" s="505">
        <f t="shared" si="16"/>
        <v>136089.17829680079</v>
      </c>
      <c r="P67" s="360">
        <f t="shared" si="17"/>
        <v>124439944634.59464</v>
      </c>
      <c r="Q67" s="388">
        <v>12443994</v>
      </c>
      <c r="R67" s="523">
        <v>408268</v>
      </c>
      <c r="S67" s="523">
        <v>4899210</v>
      </c>
      <c r="T67" s="523">
        <v>124440</v>
      </c>
      <c r="U67" s="523">
        <v>77.323400000000007</v>
      </c>
      <c r="V67" s="523">
        <v>124439945</v>
      </c>
      <c r="W67" s="523">
        <v>136089</v>
      </c>
      <c r="X67" s="389">
        <v>124439944635</v>
      </c>
      <c r="Y67" s="460">
        <f t="shared" si="18"/>
        <v>3.7243625039448636E-8</v>
      </c>
      <c r="Z67" s="524">
        <f t="shared" si="19"/>
        <v>-1.139227486661645E-6</v>
      </c>
      <c r="AA67" s="524">
        <f t="shared" si="20"/>
        <v>8.5459654171688391E-8</v>
      </c>
      <c r="AB67" s="524">
        <f t="shared" si="21"/>
        <v>-4.4491666665528345E-7</v>
      </c>
      <c r="AC67" s="524">
        <f t="shared" si="22"/>
        <v>-4.1907808709215742E-8</v>
      </c>
      <c r="AD67" s="524">
        <f t="shared" si="23"/>
        <v>-2.9363992960433682E-9</v>
      </c>
      <c r="AE67" s="524">
        <f t="shared" si="24"/>
        <v>1.3101467950763077E-6</v>
      </c>
      <c r="AF67" s="550">
        <f t="shared" si="25"/>
        <v>-3.2575150320476955E-12</v>
      </c>
    </row>
    <row r="68" spans="3:32" x14ac:dyDescent="0.25">
      <c r="C68" s="213">
        <v>430</v>
      </c>
      <c r="D68" s="214" t="s">
        <v>33</v>
      </c>
      <c r="E68" s="215">
        <f>C68*0.45359237</f>
        <v>195.04471910000001</v>
      </c>
      <c r="F68" s="354">
        <v>12569</v>
      </c>
      <c r="G68" s="214" t="s">
        <v>12</v>
      </c>
      <c r="H68" s="215">
        <f>F68*3600*1000</f>
        <v>45248400000</v>
      </c>
      <c r="I68" s="224">
        <f t="shared" si="10"/>
        <v>2365638367.6634746</v>
      </c>
      <c r="J68" s="505">
        <f t="shared" si="11"/>
        <v>77612807.338040501</v>
      </c>
      <c r="K68" s="505">
        <f t="shared" si="12"/>
        <v>931353688.05648601</v>
      </c>
      <c r="L68" s="505">
        <f t="shared" si="13"/>
        <v>23656383.676634744</v>
      </c>
      <c r="M68" s="505">
        <f t="shared" si="14"/>
        <v>14699.395329174336</v>
      </c>
      <c r="N68" s="505">
        <f t="shared" si="15"/>
        <v>23656383676.634743</v>
      </c>
      <c r="O68" s="505">
        <f t="shared" si="16"/>
        <v>25870935.779346831</v>
      </c>
      <c r="P68" s="579">
        <f t="shared" si="17"/>
        <v>23656383676634.742</v>
      </c>
      <c r="Q68" s="388">
        <v>2365638368</v>
      </c>
      <c r="R68" s="523">
        <v>77612807</v>
      </c>
      <c r="S68" s="523">
        <v>931353688</v>
      </c>
      <c r="T68" s="523">
        <v>23656384</v>
      </c>
      <c r="U68" s="523">
        <v>14699.4</v>
      </c>
      <c r="V68" s="523">
        <v>23656383677</v>
      </c>
      <c r="W68" s="523">
        <v>25870936</v>
      </c>
      <c r="X68" s="389">
        <v>23656383676635</v>
      </c>
      <c r="Y68" s="460">
        <f t="shared" si="18"/>
        <v>-1.4225565699986866E-10</v>
      </c>
      <c r="Z68" s="524">
        <f t="shared" si="19"/>
        <v>4.355473181210433E-9</v>
      </c>
      <c r="AA68" s="524">
        <f t="shared" si="20"/>
        <v>6.0649365837940184E-11</v>
      </c>
      <c r="AB68" s="524">
        <f t="shared" si="21"/>
        <v>-1.3669259875493385E-8</v>
      </c>
      <c r="AC68" s="524">
        <f t="shared" si="22"/>
        <v>-3.1775631300472546E-7</v>
      </c>
      <c r="AD68" s="524">
        <f t="shared" si="23"/>
        <v>-1.5440114100971231E-11</v>
      </c>
      <c r="AE68" s="524">
        <f t="shared" si="24"/>
        <v>-8.5289983609038404E-9</v>
      </c>
      <c r="AF68" s="550">
        <f t="shared" si="25"/>
        <v>-1.0898221111227568E-14</v>
      </c>
    </row>
    <row r="69" spans="3:32" x14ac:dyDescent="0.25">
      <c r="C69" s="213">
        <v>11569</v>
      </c>
      <c r="D69" s="214" t="s">
        <v>34</v>
      </c>
      <c r="E69" s="215">
        <f>C69*1000</f>
        <v>11569000</v>
      </c>
      <c r="F69" s="354">
        <v>569</v>
      </c>
      <c r="G69" s="214" t="s">
        <v>12</v>
      </c>
      <c r="H69" s="215">
        <f>F69*3600*1000</f>
        <v>2048400000</v>
      </c>
      <c r="I69" s="224">
        <f t="shared" si="10"/>
        <v>1805.5032333511872</v>
      </c>
      <c r="J69" s="519">
        <f t="shared" si="11"/>
        <v>59.235670385537631</v>
      </c>
      <c r="K69" s="519">
        <f t="shared" si="12"/>
        <v>710.82804462645163</v>
      </c>
      <c r="L69" s="519">
        <f t="shared" si="13"/>
        <v>18.055032333511871</v>
      </c>
      <c r="M69" s="519">
        <f t="shared" si="14"/>
        <v>1.1218876966957886E-2</v>
      </c>
      <c r="N69" s="505">
        <f t="shared" si="15"/>
        <v>18055.03233351187</v>
      </c>
      <c r="O69" s="519">
        <f t="shared" si="16"/>
        <v>19.745223461845878</v>
      </c>
      <c r="P69" s="360">
        <f t="shared" si="17"/>
        <v>18055032.33351187</v>
      </c>
      <c r="Q69" s="388">
        <v>1805.5</v>
      </c>
      <c r="R69" s="523">
        <v>59.235700000000001</v>
      </c>
      <c r="S69" s="523">
        <v>710.82799999999997</v>
      </c>
      <c r="T69" s="523">
        <v>18.055</v>
      </c>
      <c r="U69" s="523">
        <v>1.12189E-2</v>
      </c>
      <c r="V69" s="523">
        <v>18055</v>
      </c>
      <c r="W69" s="523">
        <v>19.745200000000001</v>
      </c>
      <c r="X69" s="389">
        <v>18055032</v>
      </c>
      <c r="Y69" s="460">
        <f t="shared" si="18"/>
        <v>1.7908310145696815E-6</v>
      </c>
      <c r="Z69" s="524">
        <f t="shared" si="19"/>
        <v>-4.9994306095682694E-7</v>
      </c>
      <c r="AA69" s="524">
        <f t="shared" si="20"/>
        <v>6.2780938359700308E-8</v>
      </c>
      <c r="AB69" s="524">
        <f t="shared" si="21"/>
        <v>1.7908310145460689E-6</v>
      </c>
      <c r="AC69" s="524">
        <f t="shared" si="22"/>
        <v>-2.0530612985647324E-6</v>
      </c>
      <c r="AD69" s="524">
        <f t="shared" si="23"/>
        <v>1.7908310144689347E-6</v>
      </c>
      <c r="AE69" s="524">
        <f t="shared" si="24"/>
        <v>1.1882289366328993E-6</v>
      </c>
      <c r="AF69" s="550">
        <f t="shared" si="25"/>
        <v>1.8471961954639317E-8</v>
      </c>
    </row>
    <row r="70" spans="3:32" ht="15.75" thickBot="1" x14ac:dyDescent="0.3">
      <c r="C70" s="227">
        <v>678</v>
      </c>
      <c r="D70" s="228" t="s">
        <v>35</v>
      </c>
      <c r="E70" s="361">
        <f>C70*31.1034768/1000</f>
        <v>21.0881572704</v>
      </c>
      <c r="F70" s="362">
        <v>34</v>
      </c>
      <c r="G70" s="228" t="s">
        <v>12</v>
      </c>
      <c r="H70" s="229">
        <f>F70*3600*1000</f>
        <v>122400000</v>
      </c>
      <c r="I70" s="375">
        <f t="shared" si="10"/>
        <v>59186425.285100773</v>
      </c>
      <c r="J70" s="506">
        <f t="shared" si="11"/>
        <v>1941811.8531857207</v>
      </c>
      <c r="K70" s="506">
        <f t="shared" si="12"/>
        <v>23301742.238228649</v>
      </c>
      <c r="L70" s="506">
        <f t="shared" si="13"/>
        <v>591864.25285100774</v>
      </c>
      <c r="M70" s="520">
        <f t="shared" si="14"/>
        <v>367.76739643668958</v>
      </c>
      <c r="N70" s="506">
        <f t="shared" si="15"/>
        <v>591864252.8510077</v>
      </c>
      <c r="O70" s="506">
        <f t="shared" si="16"/>
        <v>647270.61772857362</v>
      </c>
      <c r="P70" s="381">
        <f t="shared" si="17"/>
        <v>591864252851.00769</v>
      </c>
      <c r="Q70" s="551">
        <v>59186425</v>
      </c>
      <c r="R70" s="552">
        <v>1941812</v>
      </c>
      <c r="S70" s="552">
        <v>23301742</v>
      </c>
      <c r="T70" s="552">
        <v>591864</v>
      </c>
      <c r="U70" s="552">
        <v>367.767</v>
      </c>
      <c r="V70" s="552">
        <v>591864253</v>
      </c>
      <c r="W70" s="552">
        <v>647271</v>
      </c>
      <c r="X70" s="553">
        <v>591864252851</v>
      </c>
      <c r="Y70" s="234">
        <f t="shared" si="18"/>
        <v>4.8169959852034658E-9</v>
      </c>
      <c r="Z70" s="235">
        <f t="shared" si="19"/>
        <v>-7.5606850899271661E-8</v>
      </c>
      <c r="AA70" s="235">
        <f t="shared" si="20"/>
        <v>1.0223641067926231E-8</v>
      </c>
      <c r="AB70" s="235">
        <f t="shared" si="21"/>
        <v>4.2721114938281825E-7</v>
      </c>
      <c r="AC70" s="235">
        <f t="shared" si="22"/>
        <v>1.0779549612755842E-6</v>
      </c>
      <c r="AD70" s="235">
        <f t="shared" si="23"/>
        <v>-2.5173390573239393E-10</v>
      </c>
      <c r="AE70" s="235">
        <f t="shared" si="24"/>
        <v>-5.9058980264250707E-7</v>
      </c>
      <c r="AF70" s="236">
        <f t="shared" si="25"/>
        <v>1.2993570147977736E-14</v>
      </c>
    </row>
    <row r="71" spans="3:32" ht="15.75" thickTop="1" x14ac:dyDescent="0.25">
      <c r="F71" s="25"/>
    </row>
    <row r="72" spans="3:32" ht="15.75" thickBot="1" x14ac:dyDescent="0.3"/>
    <row r="73" spans="3:32" ht="15.75" thickTop="1" x14ac:dyDescent="0.25">
      <c r="C73" s="2488" t="s">
        <v>0</v>
      </c>
      <c r="D73" s="2489"/>
      <c r="E73" s="2489"/>
      <c r="F73" s="2489"/>
      <c r="G73" s="2489"/>
      <c r="H73" s="2495"/>
      <c r="I73" s="2484" t="s">
        <v>158</v>
      </c>
      <c r="J73" s="2484"/>
      <c r="K73" s="2484"/>
      <c r="L73" s="2484"/>
      <c r="M73" s="2484"/>
      <c r="N73" s="2488" t="s">
        <v>17</v>
      </c>
      <c r="O73" s="2489"/>
      <c r="P73" s="2489"/>
      <c r="Q73" s="2489"/>
      <c r="R73" s="2495"/>
      <c r="S73" s="2484" t="s">
        <v>8</v>
      </c>
      <c r="T73" s="2484"/>
      <c r="U73" s="2484"/>
      <c r="V73" s="2484"/>
      <c r="W73" s="2485"/>
    </row>
    <row r="74" spans="3:32" ht="15.75" thickBot="1" x14ac:dyDescent="0.3">
      <c r="C74" s="2486" t="s">
        <v>120</v>
      </c>
      <c r="D74" s="2487"/>
      <c r="E74" s="2496"/>
      <c r="F74" s="2500" t="s">
        <v>45</v>
      </c>
      <c r="G74" s="2487"/>
      <c r="H74" s="2487"/>
      <c r="I74" s="2480" t="s">
        <v>28</v>
      </c>
      <c r="J74" s="2481"/>
      <c r="K74" s="2481"/>
      <c r="L74" s="2481"/>
      <c r="M74" s="2481"/>
      <c r="N74" s="2486" t="s">
        <v>28</v>
      </c>
      <c r="O74" s="2487"/>
      <c r="P74" s="2487"/>
      <c r="Q74" s="2487"/>
      <c r="R74" s="2496"/>
      <c r="S74" s="2481" t="s">
        <v>28</v>
      </c>
      <c r="T74" s="2481"/>
      <c r="U74" s="2481"/>
      <c r="V74" s="2481"/>
      <c r="W74" s="2482"/>
    </row>
    <row r="75" spans="3:32" ht="15.75" thickBot="1" x14ac:dyDescent="0.3">
      <c r="C75" s="484" t="s">
        <v>3</v>
      </c>
      <c r="D75" s="119" t="s">
        <v>4</v>
      </c>
      <c r="E75" s="485" t="s">
        <v>42</v>
      </c>
      <c r="F75" s="490" t="s">
        <v>3</v>
      </c>
      <c r="G75" s="119" t="s">
        <v>4</v>
      </c>
      <c r="H75" s="489" t="s">
        <v>10</v>
      </c>
      <c r="I75" s="486" t="s">
        <v>32</v>
      </c>
      <c r="J75" s="567" t="s">
        <v>30</v>
      </c>
      <c r="K75" s="567" t="s">
        <v>33</v>
      </c>
      <c r="L75" s="567" t="s">
        <v>34</v>
      </c>
      <c r="M75" s="488" t="s">
        <v>35</v>
      </c>
      <c r="N75" s="484" t="s">
        <v>32</v>
      </c>
      <c r="O75" s="568" t="s">
        <v>30</v>
      </c>
      <c r="P75" s="568" t="s">
        <v>33</v>
      </c>
      <c r="Q75" s="568" t="s">
        <v>34</v>
      </c>
      <c r="R75" s="489" t="s">
        <v>35</v>
      </c>
      <c r="S75" s="487" t="s">
        <v>32</v>
      </c>
      <c r="T75" s="567" t="s">
        <v>30</v>
      </c>
      <c r="U75" s="567" t="s">
        <v>33</v>
      </c>
      <c r="V75" s="567" t="s">
        <v>34</v>
      </c>
      <c r="W75" s="488" t="s">
        <v>35</v>
      </c>
    </row>
    <row r="76" spans="3:32" ht="15.75" thickTop="1" x14ac:dyDescent="0.25">
      <c r="C76" s="876">
        <v>82</v>
      </c>
      <c r="D76" s="877" t="s">
        <v>39</v>
      </c>
      <c r="E76" s="875">
        <f>C76/100</f>
        <v>0.82</v>
      </c>
      <c r="F76" s="876">
        <v>12</v>
      </c>
      <c r="G76" s="877" t="s">
        <v>25</v>
      </c>
      <c r="H76" s="878">
        <f>F76*1000</f>
        <v>12000</v>
      </c>
      <c r="I76" s="948">
        <f>J76*1000</f>
        <v>1492267.628748188</v>
      </c>
      <c r="J76" s="883">
        <f>H76/(E76*9.80665)</f>
        <v>1492.2676287481879</v>
      </c>
      <c r="K76" s="883">
        <f>J76/0.45359237</f>
        <v>3289.8869721908854</v>
      </c>
      <c r="L76" s="883">
        <f>J76/1000</f>
        <v>1.492267628748188</v>
      </c>
      <c r="M76" s="884">
        <f>J76*1000/31.1034768</f>
        <v>47977.518344450422</v>
      </c>
      <c r="N76" s="991">
        <v>1492268</v>
      </c>
      <c r="O76" s="992">
        <v>1492.27</v>
      </c>
      <c r="P76" s="992">
        <v>3289.89</v>
      </c>
      <c r="Q76" s="2286">
        <v>1.49227</v>
      </c>
      <c r="R76" s="993">
        <v>47977.5</v>
      </c>
      <c r="S76" s="994">
        <f xml:space="preserve"> (I76-N76)/I76</f>
        <v>-2.4878366642806445E-7</v>
      </c>
      <c r="T76" s="995">
        <f xml:space="preserve"> (J76-O76)/J76</f>
        <v>-1.5890258331568969E-6</v>
      </c>
      <c r="U76" s="995">
        <f xml:space="preserve"> (K76-P76)/K76</f>
        <v>-9.2033833989496639E-7</v>
      </c>
      <c r="V76" s="995">
        <f xml:space="preserve"> (L76-Q76)/L76</f>
        <v>-1.5890258331247569E-6</v>
      </c>
      <c r="W76" s="996">
        <f xml:space="preserve"> (M76-R76)/M76</f>
        <v>3.8235513329726184E-7</v>
      </c>
    </row>
    <row r="77" spans="3:32" x14ac:dyDescent="0.25">
      <c r="C77" s="71">
        <v>85</v>
      </c>
      <c r="D77" s="59" t="s">
        <v>40</v>
      </c>
      <c r="E77" s="32">
        <f>C77*0.3048</f>
        <v>25.908000000000001</v>
      </c>
      <c r="F77" s="71">
        <v>530</v>
      </c>
      <c r="G77" s="59" t="s">
        <v>25</v>
      </c>
      <c r="H77" s="889">
        <f>F77*1000</f>
        <v>530000</v>
      </c>
      <c r="I77" s="997">
        <f t="shared" ref="I77:I107" si="26">J77*1000</f>
        <v>2086033.6300690982</v>
      </c>
      <c r="J77" s="951">
        <f t="shared" ref="J77:J107" si="27">H77/(E77*9.80665)</f>
        <v>2086.0336300690983</v>
      </c>
      <c r="K77" s="951">
        <f t="shared" ref="K77:K107" si="28">J77/0.45359237</f>
        <v>4598.9169307876546</v>
      </c>
      <c r="L77" s="951">
        <f t="shared" ref="L77:L107" si="29">J77/1000</f>
        <v>2.0860336300690983</v>
      </c>
      <c r="M77" s="984">
        <f t="shared" ref="M77:M107" si="30">J77*1000/31.1034768</f>
        <v>67067.538573986632</v>
      </c>
      <c r="N77" s="998">
        <v>2086034</v>
      </c>
      <c r="O77" s="999">
        <v>2086.0300000000002</v>
      </c>
      <c r="P77" s="999">
        <v>4598.92</v>
      </c>
      <c r="Q77" s="2284">
        <v>2.0860300000000001</v>
      </c>
      <c r="R77" s="1000">
        <v>67067.5</v>
      </c>
      <c r="S77" s="1001">
        <f t="shared" ref="S77:S107" si="31" xml:space="preserve"> (I77-N77)/I77</f>
        <v>-1.7733697887949903E-7</v>
      </c>
      <c r="T77" s="961">
        <f t="shared" ref="T77:T107" si="32" xml:space="preserve"> (J77-O77)/J77</f>
        <v>1.740177648999686E-6</v>
      </c>
      <c r="U77" s="961">
        <f t="shared" ref="U77:U107" si="33" xml:space="preserve"> (K77-P77)/K77</f>
        <v>-6.6737720896006999E-7</v>
      </c>
      <c r="V77" s="961">
        <f t="shared" ref="V77:V107" si="34" xml:space="preserve"> (L77-Q77)/L77</f>
        <v>1.7401776490456697E-6</v>
      </c>
      <c r="W77" s="962">
        <f t="shared" ref="W77:W107" si="35" xml:space="preserve"> (M77-R77)/M77</f>
        <v>5.7515136909112412E-7</v>
      </c>
    </row>
    <row r="78" spans="3:32" x14ac:dyDescent="0.25">
      <c r="C78" s="71">
        <v>82</v>
      </c>
      <c r="D78" s="59" t="s">
        <v>41</v>
      </c>
      <c r="E78" s="32">
        <f>C78*2.54/100</f>
        <v>2.0828000000000002</v>
      </c>
      <c r="F78" s="71">
        <v>720</v>
      </c>
      <c r="G78" s="59" t="s">
        <v>25</v>
      </c>
      <c r="H78" s="889">
        <f t="shared" ref="H78:H83" si="36">F78*1000</f>
        <v>720000</v>
      </c>
      <c r="I78" s="997">
        <f t="shared" si="26"/>
        <v>35250416.427122541</v>
      </c>
      <c r="J78" s="951">
        <f t="shared" si="27"/>
        <v>35250.416427122538</v>
      </c>
      <c r="K78" s="951">
        <f t="shared" si="28"/>
        <v>77713.86548482404</v>
      </c>
      <c r="L78" s="951">
        <f t="shared" si="29"/>
        <v>35.250416427122538</v>
      </c>
      <c r="M78" s="984">
        <f t="shared" si="30"/>
        <v>1133327.2049870174</v>
      </c>
      <c r="N78" s="998">
        <v>35250416</v>
      </c>
      <c r="O78" s="999">
        <v>35250.400000000001</v>
      </c>
      <c r="P78" s="999">
        <v>77713.899999999994</v>
      </c>
      <c r="Q78" s="2284">
        <v>35.250399999999999</v>
      </c>
      <c r="R78" s="1000">
        <v>1133327</v>
      </c>
      <c r="S78" s="1001">
        <f t="shared" si="31"/>
        <v>1.2116808368916816E-8</v>
      </c>
      <c r="T78" s="961">
        <f t="shared" si="32"/>
        <v>4.6601215536443969E-7</v>
      </c>
      <c r="U78" s="961">
        <f t="shared" si="33"/>
        <v>-4.441315039283021E-7</v>
      </c>
      <c r="V78" s="961">
        <f t="shared" si="34"/>
        <v>4.660121554208793E-7</v>
      </c>
      <c r="W78" s="962">
        <f t="shared" si="35"/>
        <v>1.8087187577939051E-7</v>
      </c>
    </row>
    <row r="79" spans="3:32" x14ac:dyDescent="0.25">
      <c r="C79" s="71">
        <v>250</v>
      </c>
      <c r="D79" s="59" t="s">
        <v>42</v>
      </c>
      <c r="E79" s="32">
        <f>C79</f>
        <v>250</v>
      </c>
      <c r="F79" s="71">
        <v>3288</v>
      </c>
      <c r="G79" s="59" t="s">
        <v>25</v>
      </c>
      <c r="H79" s="889">
        <f t="shared" si="36"/>
        <v>3288000</v>
      </c>
      <c r="I79" s="997">
        <f t="shared" si="26"/>
        <v>1341130.7633085712</v>
      </c>
      <c r="J79" s="951">
        <f t="shared" si="27"/>
        <v>1341.1307633085712</v>
      </c>
      <c r="K79" s="951">
        <f t="shared" si="28"/>
        <v>2956.6872196473919</v>
      </c>
      <c r="L79" s="951">
        <f t="shared" si="29"/>
        <v>1.3411307633085712</v>
      </c>
      <c r="M79" s="984">
        <f t="shared" si="30"/>
        <v>43118.355286524471</v>
      </c>
      <c r="N79" s="998">
        <v>1341131</v>
      </c>
      <c r="O79" s="999">
        <v>1341.13</v>
      </c>
      <c r="P79" s="999">
        <v>2956.69</v>
      </c>
      <c r="Q79" s="2284">
        <v>1.3411299999999999</v>
      </c>
      <c r="R79" s="1000">
        <v>43118.400000000001</v>
      </c>
      <c r="S79" s="1001">
        <f t="shared" si="31"/>
        <v>-1.7648646596560451E-7</v>
      </c>
      <c r="T79" s="961">
        <f t="shared" si="32"/>
        <v>5.6915298043859948E-7</v>
      </c>
      <c r="U79" s="961">
        <f t="shared" si="33"/>
        <v>-9.4036074891322354E-7</v>
      </c>
      <c r="V79" s="961">
        <f t="shared" si="34"/>
        <v>5.6915298054588573E-7</v>
      </c>
      <c r="W79" s="962">
        <f t="shared" si="35"/>
        <v>-1.0369939955575553E-6</v>
      </c>
    </row>
    <row r="80" spans="3:32" x14ac:dyDescent="0.25">
      <c r="C80" s="71">
        <v>430</v>
      </c>
      <c r="D80" s="59" t="s">
        <v>46</v>
      </c>
      <c r="E80" s="32">
        <f>C80*63360*2.54/100</f>
        <v>692017.92</v>
      </c>
      <c r="F80" s="71">
        <v>32</v>
      </c>
      <c r="G80" s="59" t="s">
        <v>25</v>
      </c>
      <c r="H80" s="889">
        <f t="shared" si="36"/>
        <v>32000</v>
      </c>
      <c r="I80" s="997">
        <f t="shared" si="26"/>
        <v>4.7153285879206281</v>
      </c>
      <c r="J80" s="951">
        <f t="shared" si="27"/>
        <v>4.7153285879206284E-3</v>
      </c>
      <c r="K80" s="951">
        <f t="shared" si="28"/>
        <v>1.0395520074380061E-2</v>
      </c>
      <c r="L80" s="951">
        <f t="shared" si="29"/>
        <v>4.7153285879206283E-6</v>
      </c>
      <c r="M80" s="984">
        <f t="shared" si="30"/>
        <v>0.15160133441804255</v>
      </c>
      <c r="N80" s="2283">
        <v>4.7153299999999998</v>
      </c>
      <c r="O80" s="2284">
        <v>4.7153300000000002E-3</v>
      </c>
      <c r="P80" s="2284">
        <v>1.03955E-2</v>
      </c>
      <c r="Q80" s="2295">
        <v>4.71532858792063E-6</v>
      </c>
      <c r="R80" s="2285">
        <v>0.15160100000000001</v>
      </c>
      <c r="S80" s="1001">
        <f t="shared" si="31"/>
        <v>-2.9946574142715885E-7</v>
      </c>
      <c r="T80" s="961">
        <f t="shared" si="32"/>
        <v>-2.9946574146541943E-7</v>
      </c>
      <c r="U80" s="961">
        <f t="shared" si="33"/>
        <v>1.9310606797338505E-6</v>
      </c>
      <c r="V80" s="961">
        <f t="shared" si="34"/>
        <v>-3.5926783529960786E-16</v>
      </c>
      <c r="W80" s="962">
        <f t="shared" si="35"/>
        <v>2.2059043465514216E-6</v>
      </c>
    </row>
    <row r="81" spans="3:23" x14ac:dyDescent="0.25">
      <c r="C81" s="71">
        <v>1260</v>
      </c>
      <c r="D81" s="59" t="s">
        <v>43</v>
      </c>
      <c r="E81" s="32">
        <f>C81/1000</f>
        <v>1.26</v>
      </c>
      <c r="F81" s="71">
        <v>988</v>
      </c>
      <c r="G81" s="59" t="s">
        <v>25</v>
      </c>
      <c r="H81" s="889">
        <f t="shared" si="36"/>
        <v>988000</v>
      </c>
      <c r="I81" s="997">
        <f t="shared" si="26"/>
        <v>79958699.874777243</v>
      </c>
      <c r="J81" s="951">
        <f t="shared" si="27"/>
        <v>79958.699874777245</v>
      </c>
      <c r="K81" s="951">
        <f t="shared" si="28"/>
        <v>176278.75855755078</v>
      </c>
      <c r="L81" s="951">
        <f t="shared" si="29"/>
        <v>79.958699874777238</v>
      </c>
      <c r="M81" s="984">
        <f t="shared" si="30"/>
        <v>2570731.8956309492</v>
      </c>
      <c r="N81" s="998">
        <v>79958700</v>
      </c>
      <c r="O81" s="999">
        <v>79958.7</v>
      </c>
      <c r="P81" s="999">
        <v>176279</v>
      </c>
      <c r="Q81" s="2284">
        <v>79.958699999999993</v>
      </c>
      <c r="R81" s="1000">
        <v>2570732</v>
      </c>
      <c r="S81" s="1001">
        <f t="shared" si="31"/>
        <v>-1.5660929661787561E-9</v>
      </c>
      <c r="T81" s="961">
        <f t="shared" si="32"/>
        <v>-1.566092899205371E-9</v>
      </c>
      <c r="U81" s="961">
        <f t="shared" si="33"/>
        <v>-1.3696627500212402E-6</v>
      </c>
      <c r="V81" s="961">
        <f t="shared" si="34"/>
        <v>-1.5660929333290388E-9</v>
      </c>
      <c r="W81" s="962">
        <f t="shared" si="35"/>
        <v>-4.0598963664990112E-8</v>
      </c>
    </row>
    <row r="82" spans="3:23" x14ac:dyDescent="0.25">
      <c r="C82" s="71">
        <v>38</v>
      </c>
      <c r="D82" s="59" t="s">
        <v>44</v>
      </c>
      <c r="E82" s="32">
        <f>C82*0.9144</f>
        <v>34.747199999999999</v>
      </c>
      <c r="F82" s="71">
        <v>1555</v>
      </c>
      <c r="G82" s="59" t="s">
        <v>25</v>
      </c>
      <c r="H82" s="889">
        <f t="shared" si="36"/>
        <v>1555000</v>
      </c>
      <c r="I82" s="997">
        <f t="shared" si="26"/>
        <v>4563414.3504532119</v>
      </c>
      <c r="J82" s="951">
        <f t="shared" si="27"/>
        <v>4563.4143504532121</v>
      </c>
      <c r="K82" s="951">
        <f t="shared" si="28"/>
        <v>10060.606509878487</v>
      </c>
      <c r="L82" s="951">
        <f t="shared" si="29"/>
        <v>4.5634143504532121</v>
      </c>
      <c r="M82" s="984">
        <f t="shared" si="30"/>
        <v>146717.17826906129</v>
      </c>
      <c r="N82" s="998">
        <v>4563414</v>
      </c>
      <c r="O82" s="999">
        <v>4563.41</v>
      </c>
      <c r="P82" s="999">
        <v>10060.6</v>
      </c>
      <c r="Q82" s="2284">
        <v>4.5634100000000002</v>
      </c>
      <c r="R82" s="1000">
        <v>146717</v>
      </c>
      <c r="S82" s="1001">
        <f t="shared" si="31"/>
        <v>7.6796272486437445E-8</v>
      </c>
      <c r="T82" s="961">
        <f t="shared" si="32"/>
        <v>9.5333293849382401E-7</v>
      </c>
      <c r="U82" s="961">
        <f t="shared" si="33"/>
        <v>6.4706620627001392E-7</v>
      </c>
      <c r="V82" s="961">
        <f t="shared" si="34"/>
        <v>9.5333293840974371E-7</v>
      </c>
      <c r="W82" s="962">
        <f t="shared" si="35"/>
        <v>1.2150524116685615E-6</v>
      </c>
    </row>
    <row r="83" spans="3:23" ht="15.75" thickBot="1" x14ac:dyDescent="0.3">
      <c r="C83" s="105">
        <v>93276</v>
      </c>
      <c r="D83" s="60" t="s">
        <v>156</v>
      </c>
      <c r="E83" s="55">
        <f>C83/1000000</f>
        <v>9.3275999999999998E-2</v>
      </c>
      <c r="F83" s="105">
        <v>7</v>
      </c>
      <c r="G83" s="60" t="s">
        <v>25</v>
      </c>
      <c r="H83" s="905">
        <f t="shared" si="36"/>
        <v>7000</v>
      </c>
      <c r="I83" s="1002">
        <f t="shared" si="26"/>
        <v>7652572.4632761888</v>
      </c>
      <c r="J83" s="1003">
        <f t="shared" si="27"/>
        <v>7652.5724632761885</v>
      </c>
      <c r="K83" s="1003">
        <f t="shared" si="28"/>
        <v>16871.034367875694</v>
      </c>
      <c r="L83" s="1003">
        <f t="shared" si="29"/>
        <v>7.6525724632761882</v>
      </c>
      <c r="M83" s="1004">
        <f t="shared" si="30"/>
        <v>246035.91786485389</v>
      </c>
      <c r="N83" s="1005">
        <v>7652572</v>
      </c>
      <c r="O83" s="1006">
        <v>7652.57</v>
      </c>
      <c r="P83" s="1006">
        <v>16871</v>
      </c>
      <c r="Q83" s="2287">
        <v>7.6525699999999999</v>
      </c>
      <c r="R83" s="1007">
        <v>246036</v>
      </c>
      <c r="S83" s="1008">
        <f t="shared" si="31"/>
        <v>6.0538621626101475E-8</v>
      </c>
      <c r="T83" s="1009">
        <f t="shared" si="32"/>
        <v>3.2188864602229835E-7</v>
      </c>
      <c r="U83" s="1009">
        <f t="shared" si="33"/>
        <v>2.0370935738168483E-6</v>
      </c>
      <c r="V83" s="1009">
        <f t="shared" si="34"/>
        <v>3.2188864596565974E-7</v>
      </c>
      <c r="W83" s="1010">
        <f t="shared" si="35"/>
        <v>-3.3383396545599299E-7</v>
      </c>
    </row>
    <row r="84" spans="3:23" ht="15.75" thickTop="1" x14ac:dyDescent="0.25">
      <c r="C84" s="1255">
        <v>9</v>
      </c>
      <c r="D84" s="1256" t="s">
        <v>39</v>
      </c>
      <c r="E84" s="1257">
        <f>C84/100</f>
        <v>0.09</v>
      </c>
      <c r="F84" s="1255">
        <v>955</v>
      </c>
      <c r="G84" s="1256" t="s">
        <v>10</v>
      </c>
      <c r="H84" s="1258">
        <f>F84</f>
        <v>955</v>
      </c>
      <c r="I84" s="1412">
        <f t="shared" si="26"/>
        <v>1082032.2037710238</v>
      </c>
      <c r="J84" s="1385">
        <f t="shared" si="27"/>
        <v>1082.0322037710239</v>
      </c>
      <c r="K84" s="1385">
        <f t="shared" si="28"/>
        <v>2385.4726740024835</v>
      </c>
      <c r="L84" s="1385">
        <f t="shared" si="29"/>
        <v>1.0820322037710239</v>
      </c>
      <c r="M84" s="1413">
        <f t="shared" si="30"/>
        <v>34788.143162536217</v>
      </c>
      <c r="N84" s="1414">
        <v>1082032</v>
      </c>
      <c r="O84" s="1415">
        <v>1082.03</v>
      </c>
      <c r="P84" s="1415">
        <v>2385.4699999999998</v>
      </c>
      <c r="Q84" s="2288">
        <v>1.08203</v>
      </c>
      <c r="R84" s="1416">
        <v>34788.1</v>
      </c>
      <c r="S84" s="1417">
        <f t="shared" si="31"/>
        <v>1.8832251301585682E-7</v>
      </c>
      <c r="T84" s="1320">
        <f t="shared" si="32"/>
        <v>2.036696335131467E-6</v>
      </c>
      <c r="U84" s="1320">
        <f t="shared" si="33"/>
        <v>1.1209528882114884E-6</v>
      </c>
      <c r="V84" s="1320">
        <f t="shared" si="34"/>
        <v>2.0366963351084832E-6</v>
      </c>
      <c r="W84" s="1321">
        <f t="shared" si="35"/>
        <v>1.2407254970851093E-6</v>
      </c>
    </row>
    <row r="85" spans="3:23" x14ac:dyDescent="0.25">
      <c r="C85" s="1268">
        <v>750</v>
      </c>
      <c r="D85" s="1269" t="s">
        <v>40</v>
      </c>
      <c r="E85" s="1254">
        <f>C85*0.3048</f>
        <v>228.60000000000002</v>
      </c>
      <c r="F85" s="1268">
        <v>55</v>
      </c>
      <c r="G85" s="1269" t="s">
        <v>10</v>
      </c>
      <c r="H85" s="1270">
        <f>F85</f>
        <v>55</v>
      </c>
      <c r="I85" s="1418">
        <f t="shared" si="26"/>
        <v>24.533854642951031</v>
      </c>
      <c r="J85" s="1419">
        <f t="shared" si="27"/>
        <v>2.453385464295103E-2</v>
      </c>
      <c r="K85" s="1419">
        <f t="shared" si="28"/>
        <v>5.4087890946999458E-2</v>
      </c>
      <c r="L85" s="1419">
        <f t="shared" si="29"/>
        <v>2.4533854642951031E-5</v>
      </c>
      <c r="M85" s="1420">
        <f t="shared" si="30"/>
        <v>0.78878174297707548</v>
      </c>
      <c r="N85" s="2280">
        <v>24.533899999999999</v>
      </c>
      <c r="O85" s="2281">
        <v>2.4533900000000001E-2</v>
      </c>
      <c r="P85" s="2281">
        <v>5.4087900000000001E-2</v>
      </c>
      <c r="Q85" s="2281">
        <v>2.4533854642951001E-5</v>
      </c>
      <c r="R85" s="2282">
        <v>0.78878199999999998</v>
      </c>
      <c r="S85" s="1417">
        <f t="shared" si="31"/>
        <v>-1.8487534726335311E-6</v>
      </c>
      <c r="T85" s="1320">
        <f t="shared" si="32"/>
        <v>-1.848753472739875E-6</v>
      </c>
      <c r="U85" s="1320">
        <f t="shared" si="33"/>
        <v>-1.6737573577287981E-7</v>
      </c>
      <c r="V85" s="1320">
        <f t="shared" si="34"/>
        <v>1.2429023708231676E-15</v>
      </c>
      <c r="W85" s="1321">
        <f t="shared" si="35"/>
        <v>-3.2584796337839359E-7</v>
      </c>
    </row>
    <row r="86" spans="3:23" x14ac:dyDescent="0.25">
      <c r="C86" s="1268">
        <v>520</v>
      </c>
      <c r="D86" s="1269" t="s">
        <v>41</v>
      </c>
      <c r="E86" s="1254">
        <f>C86*2.54/100</f>
        <v>13.208</v>
      </c>
      <c r="F86" s="1268">
        <v>87</v>
      </c>
      <c r="G86" s="1269" t="s">
        <v>10</v>
      </c>
      <c r="H86" s="1270">
        <f t="shared" ref="H86:H91" si="37">F86</f>
        <v>87</v>
      </c>
      <c r="I86" s="1418">
        <f t="shared" si="26"/>
        <v>671.6786078821907</v>
      </c>
      <c r="J86" s="1419">
        <f t="shared" si="27"/>
        <v>0.67167860788219069</v>
      </c>
      <c r="K86" s="1419">
        <f t="shared" si="28"/>
        <v>1.480797853548971</v>
      </c>
      <c r="L86" s="1419">
        <f t="shared" si="29"/>
        <v>6.7167860788219064E-4</v>
      </c>
      <c r="M86" s="1420">
        <f t="shared" si="30"/>
        <v>21.594968697589163</v>
      </c>
      <c r="N86" s="2280">
        <v>671.67899999999997</v>
      </c>
      <c r="O86" s="2281">
        <v>0.67167900000000003</v>
      </c>
      <c r="P86" s="2281">
        <v>1.4807999999999999</v>
      </c>
      <c r="Q86" s="2281">
        <v>6.71679E-4</v>
      </c>
      <c r="R86" s="2282">
        <v>21.594999999999999</v>
      </c>
      <c r="S86" s="1417">
        <f t="shared" si="31"/>
        <v>-5.8378784833712694E-7</v>
      </c>
      <c r="T86" s="1320">
        <f t="shared" si="32"/>
        <v>-5.837878484323345E-7</v>
      </c>
      <c r="U86" s="1320">
        <f t="shared" si="33"/>
        <v>-1.4495233253970273E-6</v>
      </c>
      <c r="V86" s="1320">
        <f t="shared" si="34"/>
        <v>-5.8378784847107461E-7</v>
      </c>
      <c r="W86" s="1321">
        <f t="shared" si="35"/>
        <v>-1.4495233252787813E-6</v>
      </c>
    </row>
    <row r="87" spans="3:23" x14ac:dyDescent="0.25">
      <c r="C87" s="1268">
        <v>1200</v>
      </c>
      <c r="D87" s="1269" t="s">
        <v>42</v>
      </c>
      <c r="E87" s="1254">
        <f>C87</f>
        <v>1200</v>
      </c>
      <c r="F87" s="1268">
        <v>433</v>
      </c>
      <c r="G87" s="1269" t="s">
        <v>10</v>
      </c>
      <c r="H87" s="1270">
        <f t="shared" si="37"/>
        <v>433</v>
      </c>
      <c r="I87" s="1418">
        <f t="shared" si="26"/>
        <v>36.794760018286908</v>
      </c>
      <c r="J87" s="1419">
        <f t="shared" si="27"/>
        <v>3.6794760018286909E-2</v>
      </c>
      <c r="K87" s="1419">
        <f t="shared" si="28"/>
        <v>8.1118560301812193E-2</v>
      </c>
      <c r="L87" s="1419">
        <f t="shared" si="29"/>
        <v>3.6794760018286912E-5</v>
      </c>
      <c r="M87" s="1420">
        <f t="shared" si="30"/>
        <v>1.1829790044014279</v>
      </c>
      <c r="N87" s="2280">
        <v>36.794800000000002</v>
      </c>
      <c r="O87" s="2281">
        <v>3.6794800000000003E-2</v>
      </c>
      <c r="P87" s="2281">
        <v>8.1118599999999999E-2</v>
      </c>
      <c r="Q87" s="2281">
        <v>3.6794760018286899E-5</v>
      </c>
      <c r="R87" s="2282">
        <v>1.1829799999999999</v>
      </c>
      <c r="S87" s="1417">
        <f t="shared" si="31"/>
        <v>-1.0866143188372395E-6</v>
      </c>
      <c r="T87" s="1320">
        <f t="shared" si="32"/>
        <v>-1.0866143188100832E-6</v>
      </c>
      <c r="U87" s="1320">
        <f t="shared" si="33"/>
        <v>-4.89384767909677E-7</v>
      </c>
      <c r="V87" s="1320">
        <f t="shared" si="34"/>
        <v>3.6832764092857872E-16</v>
      </c>
      <c r="W87" s="1321">
        <f t="shared" si="35"/>
        <v>-8.4160290953994632E-7</v>
      </c>
    </row>
    <row r="88" spans="3:23" x14ac:dyDescent="0.25">
      <c r="C88" s="1268">
        <v>620</v>
      </c>
      <c r="D88" s="1269" t="s">
        <v>46</v>
      </c>
      <c r="E88" s="1254">
        <f>C88*63360*2.54/100</f>
        <v>997793.28000000003</v>
      </c>
      <c r="F88" s="1268">
        <v>1233</v>
      </c>
      <c r="G88" s="1269" t="s">
        <v>10</v>
      </c>
      <c r="H88" s="1270">
        <f t="shared" si="37"/>
        <v>1233</v>
      </c>
      <c r="I88" s="1418">
        <f t="shared" si="26"/>
        <v>0.12600907580794549</v>
      </c>
      <c r="J88" s="1419">
        <f t="shared" si="27"/>
        <v>1.2600907580794548E-4</v>
      </c>
      <c r="K88" s="1419">
        <f t="shared" si="28"/>
        <v>2.7780245908445389E-4</v>
      </c>
      <c r="L88" s="1307">
        <f t="shared" si="29"/>
        <v>1.2600907580794548E-7</v>
      </c>
      <c r="M88" s="1420">
        <f t="shared" si="30"/>
        <v>4.0512858616482865E-3</v>
      </c>
      <c r="N88" s="2280">
        <v>0.12600900000000001</v>
      </c>
      <c r="O88" s="2281">
        <v>1.2600900000000001E-4</v>
      </c>
      <c r="P88" s="2281">
        <v>2.7780200000000001E-4</v>
      </c>
      <c r="Q88" s="2281">
        <v>1.26009075807945E-7</v>
      </c>
      <c r="R88" s="2282">
        <v>4.0512899999999999E-3</v>
      </c>
      <c r="S88" s="1417">
        <f t="shared" si="31"/>
        <v>6.0160702703756481E-7</v>
      </c>
      <c r="T88" s="1320">
        <f t="shared" si="32"/>
        <v>6.0160702705477313E-7</v>
      </c>
      <c r="U88" s="1320">
        <f t="shared" si="33"/>
        <v>1.6525571998033357E-6</v>
      </c>
      <c r="V88" s="1320">
        <f t="shared" si="34"/>
        <v>3.7811247307037311E-15</v>
      </c>
      <c r="W88" s="1321">
        <f t="shared" si="35"/>
        <v>-1.0214909178765189E-6</v>
      </c>
    </row>
    <row r="89" spans="3:23" x14ac:dyDescent="0.25">
      <c r="C89" s="1268">
        <v>7501</v>
      </c>
      <c r="D89" s="1269" t="s">
        <v>43</v>
      </c>
      <c r="E89" s="1254">
        <f>C89/1000</f>
        <v>7.5010000000000003</v>
      </c>
      <c r="F89" s="1268">
        <v>43500</v>
      </c>
      <c r="G89" s="1269" t="s">
        <v>10</v>
      </c>
      <c r="H89" s="1270">
        <f t="shared" si="37"/>
        <v>43500</v>
      </c>
      <c r="I89" s="1418">
        <f t="shared" si="26"/>
        <v>591356.55598640011</v>
      </c>
      <c r="J89" s="1419">
        <f t="shared" si="27"/>
        <v>591.35655598640017</v>
      </c>
      <c r="K89" s="1419">
        <f t="shared" si="28"/>
        <v>1303.7180409061998</v>
      </c>
      <c r="L89" s="1307">
        <f t="shared" si="29"/>
        <v>0.59135655598640013</v>
      </c>
      <c r="M89" s="1420">
        <f t="shared" si="30"/>
        <v>19012.554763215416</v>
      </c>
      <c r="N89" s="2277">
        <v>591357</v>
      </c>
      <c r="O89" s="2278">
        <v>591.35699999999997</v>
      </c>
      <c r="P89" s="2278">
        <v>1303.72</v>
      </c>
      <c r="Q89" s="2278">
        <v>0.59135700000000002</v>
      </c>
      <c r="R89" s="2279">
        <v>19012.599999999999</v>
      </c>
      <c r="S89" s="1417">
        <f t="shared" si="31"/>
        <v>-7.5083905876006372E-7</v>
      </c>
      <c r="T89" s="1320">
        <f t="shared" si="32"/>
        <v>-7.5083905861703152E-7</v>
      </c>
      <c r="U89" s="1320">
        <f t="shared" si="33"/>
        <v>-1.5026974688960431E-6</v>
      </c>
      <c r="V89" s="1320">
        <f t="shared" si="34"/>
        <v>-7.5083905875821338E-7</v>
      </c>
      <c r="W89" s="1321">
        <f t="shared" si="35"/>
        <v>-2.379311204948326E-6</v>
      </c>
    </row>
    <row r="90" spans="3:23" x14ac:dyDescent="0.25">
      <c r="C90" s="1268">
        <v>890</v>
      </c>
      <c r="D90" s="1269" t="s">
        <v>44</v>
      </c>
      <c r="E90" s="1254">
        <f>C90*0.9144</f>
        <v>813.81600000000003</v>
      </c>
      <c r="F90" s="1268">
        <v>4</v>
      </c>
      <c r="G90" s="1269" t="s">
        <v>10</v>
      </c>
      <c r="H90" s="1270">
        <f t="shared" si="37"/>
        <v>4</v>
      </c>
      <c r="I90" s="1306">
        <f t="shared" si="26"/>
        <v>0.50120234204190051</v>
      </c>
      <c r="J90" s="1307">
        <f t="shared" si="27"/>
        <v>5.0120234204190052E-4</v>
      </c>
      <c r="K90" s="1307">
        <f t="shared" si="28"/>
        <v>1.1049620213891616E-3</v>
      </c>
      <c r="L90" s="1307">
        <f t="shared" si="29"/>
        <v>5.0120234204190048E-7</v>
      </c>
      <c r="M90" s="1420">
        <f t="shared" si="30"/>
        <v>1.6114029478591939E-2</v>
      </c>
      <c r="N90" s="2280">
        <v>0.50120200000000004</v>
      </c>
      <c r="O90" s="2281">
        <v>5.0120199999999996E-4</v>
      </c>
      <c r="P90" s="2281">
        <v>1.1049600000000001E-3</v>
      </c>
      <c r="Q90" s="2281">
        <v>5.0120234204189995E-7</v>
      </c>
      <c r="R90" s="2282">
        <v>1.6114E-2</v>
      </c>
      <c r="S90" s="1417">
        <f t="shared" si="31"/>
        <v>6.8244274174003803E-7</v>
      </c>
      <c r="T90" s="1320">
        <f t="shared" si="32"/>
        <v>6.8244274190790259E-7</v>
      </c>
      <c r="U90" s="1320">
        <f t="shared" si="33"/>
        <v>1.8293743335924885E-6</v>
      </c>
      <c r="V90" s="1320">
        <f t="shared" si="34"/>
        <v>1.0562512335380912E-15</v>
      </c>
      <c r="W90" s="1321">
        <f t="shared" si="35"/>
        <v>1.8293743335992171E-6</v>
      </c>
    </row>
    <row r="91" spans="3:23" ht="15.75" thickBot="1" x14ac:dyDescent="0.3">
      <c r="C91" s="1286">
        <v>435</v>
      </c>
      <c r="D91" s="1287" t="s">
        <v>156</v>
      </c>
      <c r="E91" s="1309">
        <f>C91/1000000</f>
        <v>4.35E-4</v>
      </c>
      <c r="F91" s="1286">
        <v>984</v>
      </c>
      <c r="G91" s="1287" t="s">
        <v>10</v>
      </c>
      <c r="H91" s="1289">
        <f t="shared" si="37"/>
        <v>984</v>
      </c>
      <c r="I91" s="1290">
        <f t="shared" si="26"/>
        <v>230666839.90121412</v>
      </c>
      <c r="J91" s="1421">
        <f t="shared" si="27"/>
        <v>230666.83990121412</v>
      </c>
      <c r="K91" s="1421">
        <f t="shared" si="28"/>
        <v>508533.33335658646</v>
      </c>
      <c r="L91" s="1421">
        <f t="shared" si="29"/>
        <v>230.6668399012141</v>
      </c>
      <c r="M91" s="1422">
        <f t="shared" si="30"/>
        <v>7416111.1114502195</v>
      </c>
      <c r="N91" s="1423">
        <v>230666840</v>
      </c>
      <c r="O91" s="1424">
        <v>230667</v>
      </c>
      <c r="P91" s="1424">
        <v>508533</v>
      </c>
      <c r="Q91" s="1424">
        <v>230.667</v>
      </c>
      <c r="R91" s="1425">
        <v>7416111</v>
      </c>
      <c r="S91" s="1426">
        <f t="shared" si="31"/>
        <v>-4.282621518987708E-10</v>
      </c>
      <c r="T91" s="1368">
        <f t="shared" si="32"/>
        <v>-6.9406935974113707E-7</v>
      </c>
      <c r="U91" s="1368">
        <f t="shared" si="33"/>
        <v>6.5552553705620498E-7</v>
      </c>
      <c r="V91" s="1368">
        <f t="shared" si="34"/>
        <v>-6.9406935980225188E-7</v>
      </c>
      <c r="W91" s="1369">
        <f t="shared" si="35"/>
        <v>1.5028121592570485E-8</v>
      </c>
    </row>
    <row r="92" spans="3:23" ht="15.75" thickTop="1" x14ac:dyDescent="0.25">
      <c r="C92" s="128">
        <v>811</v>
      </c>
      <c r="D92" s="146" t="s">
        <v>39</v>
      </c>
      <c r="E92" s="147">
        <f>C92/100</f>
        <v>8.11</v>
      </c>
      <c r="F92" s="128">
        <v>12800</v>
      </c>
      <c r="G92" s="146" t="s">
        <v>11</v>
      </c>
      <c r="H92" s="115">
        <f>F92*4.187*1000</f>
        <v>53593600.000000007</v>
      </c>
      <c r="I92" s="325">
        <f t="shared" si="26"/>
        <v>673862673.6356833</v>
      </c>
      <c r="J92" s="538">
        <f t="shared" si="27"/>
        <v>673862.67363568326</v>
      </c>
      <c r="K92" s="538">
        <f t="shared" si="28"/>
        <v>1485612.8943167259</v>
      </c>
      <c r="L92" s="538">
        <f t="shared" si="29"/>
        <v>673.86267363568322</v>
      </c>
      <c r="M92" s="547">
        <f t="shared" si="30"/>
        <v>21665188.042118922</v>
      </c>
      <c r="N92" s="555">
        <v>673862674</v>
      </c>
      <c r="O92" s="548">
        <v>673863</v>
      </c>
      <c r="P92" s="548">
        <v>1485613</v>
      </c>
      <c r="Q92" s="548">
        <v>673.86300000000006</v>
      </c>
      <c r="R92" s="556">
        <v>21665188</v>
      </c>
      <c r="S92" s="326">
        <f t="shared" si="31"/>
        <v>-5.4063938565322883E-10</v>
      </c>
      <c r="T92" s="201">
        <f t="shared" si="32"/>
        <v>-4.8431873364331098E-7</v>
      </c>
      <c r="U92" s="201">
        <f t="shared" si="33"/>
        <v>-7.1137827697754725E-8</v>
      </c>
      <c r="V92" s="201">
        <f t="shared" si="34"/>
        <v>-4.8431873377557899E-7</v>
      </c>
      <c r="W92" s="202">
        <f t="shared" si="35"/>
        <v>1.9440829128309894E-9</v>
      </c>
    </row>
    <row r="93" spans="3:23" x14ac:dyDescent="0.25">
      <c r="C93" s="72">
        <v>533</v>
      </c>
      <c r="D93" s="62" t="s">
        <v>40</v>
      </c>
      <c r="E93" s="34">
        <f>C93*0.3048</f>
        <v>162.45840000000001</v>
      </c>
      <c r="F93" s="72">
        <v>455</v>
      </c>
      <c r="G93" s="62" t="s">
        <v>11</v>
      </c>
      <c r="H93" s="35">
        <f>F93*4.187*1000</f>
        <v>1905085</v>
      </c>
      <c r="I93" s="295">
        <f t="shared" si="26"/>
        <v>1195780.6192853411</v>
      </c>
      <c r="J93" s="525">
        <f t="shared" si="27"/>
        <v>1195.7806192853411</v>
      </c>
      <c r="K93" s="525">
        <f t="shared" si="28"/>
        <v>2636.2450040448016</v>
      </c>
      <c r="L93" s="525">
        <f t="shared" si="29"/>
        <v>1.1957806192853411</v>
      </c>
      <c r="M93" s="278">
        <f t="shared" si="30"/>
        <v>38445.239642320026</v>
      </c>
      <c r="N93" s="557">
        <v>1195781</v>
      </c>
      <c r="O93" s="526">
        <v>1195.78</v>
      </c>
      <c r="P93" s="526">
        <v>2636.25</v>
      </c>
      <c r="Q93" s="2290">
        <v>1.1957800000000001</v>
      </c>
      <c r="R93" s="558">
        <v>38445.199999999997</v>
      </c>
      <c r="S93" s="299">
        <f t="shared" si="31"/>
        <v>-3.1838169371580936E-7</v>
      </c>
      <c r="T93" s="191">
        <f t="shared" si="32"/>
        <v>5.1789210425151044E-7</v>
      </c>
      <c r="U93" s="191">
        <f t="shared" si="33"/>
        <v>-1.8951027657690822E-6</v>
      </c>
      <c r="V93" s="191">
        <f t="shared" si="34"/>
        <v>5.1789210413712531E-7</v>
      </c>
      <c r="W93" s="192">
        <f t="shared" si="35"/>
        <v>1.0311372850814678E-6</v>
      </c>
    </row>
    <row r="94" spans="3:23" x14ac:dyDescent="0.25">
      <c r="C94" s="72">
        <v>66</v>
      </c>
      <c r="D94" s="62" t="s">
        <v>41</v>
      </c>
      <c r="E94" s="34">
        <f>C94*2.54/100</f>
        <v>1.6764000000000001</v>
      </c>
      <c r="F94" s="72">
        <v>65</v>
      </c>
      <c r="G94" s="62" t="s">
        <v>11</v>
      </c>
      <c r="H94" s="35">
        <f t="shared" ref="H94:H99" si="38">F94*4.187*1000</f>
        <v>272155.00000000006</v>
      </c>
      <c r="I94" s="295">
        <f t="shared" si="26"/>
        <v>16554573.248807454</v>
      </c>
      <c r="J94" s="525">
        <f t="shared" si="27"/>
        <v>16554.573248807454</v>
      </c>
      <c r="K94" s="525">
        <f t="shared" si="28"/>
        <v>36496.586679373489</v>
      </c>
      <c r="L94" s="525">
        <f t="shared" si="29"/>
        <v>16.554573248807454</v>
      </c>
      <c r="M94" s="278">
        <f t="shared" si="30"/>
        <v>532241.88907419681</v>
      </c>
      <c r="N94" s="557">
        <v>16554573</v>
      </c>
      <c r="O94" s="526">
        <v>16554.599999999999</v>
      </c>
      <c r="P94" s="526">
        <v>36496.6</v>
      </c>
      <c r="Q94" s="2290">
        <v>16.554600000000001</v>
      </c>
      <c r="R94" s="558">
        <v>532242</v>
      </c>
      <c r="S94" s="299">
        <f t="shared" si="31"/>
        <v>1.5029529951769933E-8</v>
      </c>
      <c r="T94" s="191">
        <f t="shared" si="32"/>
        <v>-1.615939725104915E-6</v>
      </c>
      <c r="U94" s="191">
        <f t="shared" si="33"/>
        <v>-3.6498280307986042E-7</v>
      </c>
      <c r="V94" s="191">
        <f t="shared" si="34"/>
        <v>-1.6159397251993419E-6</v>
      </c>
      <c r="W94" s="192">
        <f t="shared" si="35"/>
        <v>-2.0841238818457404E-7</v>
      </c>
    </row>
    <row r="95" spans="3:23" x14ac:dyDescent="0.25">
      <c r="C95" s="72">
        <v>844</v>
      </c>
      <c r="D95" s="62" t="s">
        <v>42</v>
      </c>
      <c r="E95" s="34">
        <f>C95</f>
        <v>844</v>
      </c>
      <c r="F95" s="72">
        <v>3222</v>
      </c>
      <c r="G95" s="62" t="s">
        <v>11</v>
      </c>
      <c r="H95" s="35">
        <f t="shared" si="38"/>
        <v>13490514.000000002</v>
      </c>
      <c r="I95" s="295">
        <f t="shared" si="26"/>
        <v>1629916.5695741381</v>
      </c>
      <c r="J95" s="525">
        <f t="shared" si="27"/>
        <v>1629.9165695741381</v>
      </c>
      <c r="K95" s="525">
        <f t="shared" si="28"/>
        <v>3593.3509410092988</v>
      </c>
      <c r="L95" s="525">
        <f t="shared" si="29"/>
        <v>1.629916569574138</v>
      </c>
      <c r="M95" s="278">
        <f t="shared" si="30"/>
        <v>52403.03455638561</v>
      </c>
      <c r="N95" s="557">
        <v>1629917</v>
      </c>
      <c r="O95" s="526">
        <v>1629.92</v>
      </c>
      <c r="P95" s="526">
        <v>3593.35</v>
      </c>
      <c r="Q95" s="2290">
        <v>1.62992</v>
      </c>
      <c r="R95" s="558">
        <v>52403</v>
      </c>
      <c r="S95" s="299">
        <f t="shared" si="31"/>
        <v>-2.6407846259446387E-7</v>
      </c>
      <c r="T95" s="191">
        <f t="shared" si="32"/>
        <v>-2.1046634693106471E-6</v>
      </c>
      <c r="U95" s="191">
        <f t="shared" si="33"/>
        <v>2.6187514505569594E-7</v>
      </c>
      <c r="V95" s="191">
        <f t="shared" si="34"/>
        <v>-2.1046634693302644E-6</v>
      </c>
      <c r="W95" s="192">
        <f t="shared" si="35"/>
        <v>6.5943481904126637E-7</v>
      </c>
    </row>
    <row r="96" spans="3:23" x14ac:dyDescent="0.25">
      <c r="C96" s="72">
        <v>2530</v>
      </c>
      <c r="D96" s="62" t="s">
        <v>46</v>
      </c>
      <c r="E96" s="34">
        <f>C96*63360*2.54/100</f>
        <v>4071640.32</v>
      </c>
      <c r="F96" s="72">
        <v>8</v>
      </c>
      <c r="G96" s="62" t="s">
        <v>11</v>
      </c>
      <c r="H96" s="35">
        <f t="shared" si="38"/>
        <v>33496</v>
      </c>
      <c r="I96" s="295">
        <f t="shared" si="26"/>
        <v>0.83888584416780443</v>
      </c>
      <c r="J96" s="525">
        <f t="shared" si="27"/>
        <v>8.3888584416780439E-4</v>
      </c>
      <c r="K96" s="525">
        <f t="shared" si="28"/>
        <v>1.8494267092010483E-3</v>
      </c>
      <c r="L96" s="525">
        <f t="shared" si="29"/>
        <v>8.3888584416780435E-7</v>
      </c>
      <c r="M96" s="278">
        <f t="shared" si="30"/>
        <v>2.6970806175848627E-2</v>
      </c>
      <c r="N96" s="2289">
        <v>0.83888600000000002</v>
      </c>
      <c r="O96" s="2290">
        <v>8.3888599999999995E-4</v>
      </c>
      <c r="P96" s="2290">
        <v>1.84943E-3</v>
      </c>
      <c r="Q96" s="2290">
        <v>8.3888584416780403E-7</v>
      </c>
      <c r="R96" s="2291">
        <v>2.69708E-2</v>
      </c>
      <c r="S96" s="299">
        <f t="shared" si="31"/>
        <v>-1.8576090736933085E-7</v>
      </c>
      <c r="T96" s="191">
        <f t="shared" si="32"/>
        <v>-1.8576090733521067E-7</v>
      </c>
      <c r="U96" s="191">
        <f t="shared" si="33"/>
        <v>-1.7793616450577648E-6</v>
      </c>
      <c r="V96" s="191">
        <f t="shared" si="34"/>
        <v>3.7864193016091098E-16</v>
      </c>
      <c r="W96" s="192">
        <f t="shared" si="35"/>
        <v>2.2898272255457399E-7</v>
      </c>
    </row>
    <row r="97" spans="3:23" x14ac:dyDescent="0.25">
      <c r="C97" s="72">
        <v>229</v>
      </c>
      <c r="D97" s="62" t="s">
        <v>43</v>
      </c>
      <c r="E97" s="34">
        <f>C97/1000</f>
        <v>0.22900000000000001</v>
      </c>
      <c r="F97" s="72">
        <v>34</v>
      </c>
      <c r="G97" s="62" t="s">
        <v>11</v>
      </c>
      <c r="H97" s="35">
        <f t="shared" si="38"/>
        <v>142358</v>
      </c>
      <c r="I97" s="295">
        <f t="shared" si="26"/>
        <v>63390725.173411317</v>
      </c>
      <c r="J97" s="525">
        <f t="shared" si="27"/>
        <v>63390.725173411316</v>
      </c>
      <c r="K97" s="525">
        <f t="shared" si="28"/>
        <v>139752.62673270123</v>
      </c>
      <c r="L97" s="525">
        <f t="shared" si="29"/>
        <v>63.390725173411319</v>
      </c>
      <c r="M97" s="278">
        <f t="shared" si="30"/>
        <v>2038059.1398518933</v>
      </c>
      <c r="N97" s="557">
        <v>63390725</v>
      </c>
      <c r="O97" s="526">
        <v>63390.7</v>
      </c>
      <c r="P97" s="526">
        <v>139753</v>
      </c>
      <c r="Q97" s="2290">
        <v>63.390700000000002</v>
      </c>
      <c r="R97" s="558">
        <v>2038059</v>
      </c>
      <c r="S97" s="299">
        <f t="shared" si="31"/>
        <v>2.7355944689902705E-9</v>
      </c>
      <c r="T97" s="191">
        <f t="shared" si="32"/>
        <v>3.9711505508274057E-7</v>
      </c>
      <c r="U97" s="191">
        <f t="shared" si="33"/>
        <v>-2.6709143684431335E-6</v>
      </c>
      <c r="V97" s="191">
        <f t="shared" si="34"/>
        <v>3.9711505504149165E-7</v>
      </c>
      <c r="W97" s="192">
        <f t="shared" si="35"/>
        <v>6.8620134992005692E-8</v>
      </c>
    </row>
    <row r="98" spans="3:23" x14ac:dyDescent="0.25">
      <c r="C98" s="72">
        <v>22</v>
      </c>
      <c r="D98" s="62" t="s">
        <v>44</v>
      </c>
      <c r="E98" s="34">
        <f>C98*0.9144</f>
        <v>20.116800000000001</v>
      </c>
      <c r="F98" s="72">
        <v>66</v>
      </c>
      <c r="G98" s="62" t="s">
        <v>11</v>
      </c>
      <c r="H98" s="35">
        <f t="shared" si="38"/>
        <v>276342.00000000006</v>
      </c>
      <c r="I98" s="295">
        <f t="shared" si="26"/>
        <v>1400771.5825913998</v>
      </c>
      <c r="J98" s="525">
        <f t="shared" si="27"/>
        <v>1400.7715825913997</v>
      </c>
      <c r="K98" s="525">
        <f t="shared" si="28"/>
        <v>3088.1727190239103</v>
      </c>
      <c r="L98" s="525">
        <f t="shared" si="29"/>
        <v>1.4007715825913998</v>
      </c>
      <c r="M98" s="278">
        <f t="shared" si="30"/>
        <v>45035.852152432031</v>
      </c>
      <c r="N98" s="557">
        <v>1400772</v>
      </c>
      <c r="O98" s="526">
        <v>1400.77</v>
      </c>
      <c r="P98" s="526">
        <v>3088.17</v>
      </c>
      <c r="Q98" s="2290">
        <v>1.4007700000000001</v>
      </c>
      <c r="R98" s="558">
        <v>45035.9</v>
      </c>
      <c r="S98" s="299">
        <f t="shared" si="31"/>
        <v>-2.97984771681714E-7</v>
      </c>
      <c r="T98" s="191">
        <f t="shared" si="32"/>
        <v>1.1297997613449197E-6</v>
      </c>
      <c r="U98" s="191">
        <f t="shared" si="33"/>
        <v>8.8046367791580507E-7</v>
      </c>
      <c r="V98" s="191">
        <f t="shared" si="34"/>
        <v>1.1297997613423835E-6</v>
      </c>
      <c r="W98" s="192">
        <f t="shared" si="35"/>
        <v>-1.0624328325845193E-6</v>
      </c>
    </row>
    <row r="99" spans="3:23" ht="15.75" thickBot="1" x14ac:dyDescent="0.3">
      <c r="C99" s="106">
        <v>555</v>
      </c>
      <c r="D99" s="63" t="s">
        <v>156</v>
      </c>
      <c r="E99" s="39">
        <f>C99/1000000</f>
        <v>5.5500000000000005E-4</v>
      </c>
      <c r="F99" s="106">
        <v>6</v>
      </c>
      <c r="G99" s="63" t="s">
        <v>11</v>
      </c>
      <c r="H99" s="40">
        <f t="shared" si="38"/>
        <v>25122</v>
      </c>
      <c r="I99" s="38">
        <f t="shared" si="26"/>
        <v>4615731658.095768</v>
      </c>
      <c r="J99" s="543">
        <f t="shared" si="27"/>
        <v>4615731.6580957677</v>
      </c>
      <c r="K99" s="543">
        <f t="shared" si="28"/>
        <v>10175946.429821488</v>
      </c>
      <c r="L99" s="543">
        <f t="shared" si="29"/>
        <v>4615.7316580957677</v>
      </c>
      <c r="M99" s="286">
        <f t="shared" si="30"/>
        <v>148399218.76823005</v>
      </c>
      <c r="N99" s="559">
        <v>4615731658</v>
      </c>
      <c r="O99" s="549">
        <v>4615732</v>
      </c>
      <c r="P99" s="549">
        <v>10175946</v>
      </c>
      <c r="Q99" s="549">
        <v>4615.7299999999996</v>
      </c>
      <c r="R99" s="560">
        <v>148399219</v>
      </c>
      <c r="S99" s="339">
        <f t="shared" si="31"/>
        <v>2.0748167776509119E-11</v>
      </c>
      <c r="T99" s="197">
        <f t="shared" si="32"/>
        <v>-7.4073680535302121E-8</v>
      </c>
      <c r="U99" s="197">
        <f t="shared" si="33"/>
        <v>4.2238969169151274E-8</v>
      </c>
      <c r="V99" s="197">
        <f t="shared" si="34"/>
        <v>3.5922707187688015E-7</v>
      </c>
      <c r="W99" s="198">
        <f t="shared" si="35"/>
        <v>-1.5618003323841452E-9</v>
      </c>
    </row>
    <row r="100" spans="3:23" ht="15.75" thickTop="1" x14ac:dyDescent="0.25">
      <c r="C100" s="203">
        <v>84</v>
      </c>
      <c r="D100" s="204" t="s">
        <v>39</v>
      </c>
      <c r="E100" s="205">
        <f>C100/100</f>
        <v>0.84</v>
      </c>
      <c r="F100" s="203">
        <v>3</v>
      </c>
      <c r="G100" s="204" t="s">
        <v>12</v>
      </c>
      <c r="H100" s="206">
        <f t="shared" ref="H100:H107" si="39">F100*3600*1000</f>
        <v>10800000</v>
      </c>
      <c r="I100" s="367">
        <f t="shared" si="26"/>
        <v>1311063702.4001937</v>
      </c>
      <c r="J100" s="535">
        <f t="shared" si="27"/>
        <v>1311063.7024001938</v>
      </c>
      <c r="K100" s="535">
        <f t="shared" si="28"/>
        <v>2890400.6969962781</v>
      </c>
      <c r="L100" s="535">
        <f t="shared" si="29"/>
        <v>1311.0637024001937</v>
      </c>
      <c r="M100" s="536">
        <f t="shared" si="30"/>
        <v>42151676.831195727</v>
      </c>
      <c r="N100" s="561">
        <v>1311063702</v>
      </c>
      <c r="O100" s="537">
        <v>1311064</v>
      </c>
      <c r="P100" s="537">
        <v>2890401</v>
      </c>
      <c r="Q100" s="537">
        <v>1311.06</v>
      </c>
      <c r="R100" s="562">
        <v>42151677</v>
      </c>
      <c r="S100" s="395">
        <f t="shared" si="31"/>
        <v>3.0524351373698973E-10</v>
      </c>
      <c r="T100" s="524">
        <f t="shared" si="32"/>
        <v>-2.2699111086109248E-7</v>
      </c>
      <c r="U100" s="524">
        <f t="shared" si="33"/>
        <v>-1.0483104373222898E-7</v>
      </c>
      <c r="V100" s="524">
        <f t="shared" si="34"/>
        <v>2.8239666669208468E-6</v>
      </c>
      <c r="W100" s="550">
        <f t="shared" si="35"/>
        <v>-4.0046870183909527E-9</v>
      </c>
    </row>
    <row r="101" spans="3:23" x14ac:dyDescent="0.25">
      <c r="C101" s="213">
        <v>92</v>
      </c>
      <c r="D101" s="214" t="s">
        <v>40</v>
      </c>
      <c r="E101" s="215">
        <f>C101*0.3048</f>
        <v>28.041600000000003</v>
      </c>
      <c r="F101" s="213">
        <v>566</v>
      </c>
      <c r="G101" s="214" t="s">
        <v>12</v>
      </c>
      <c r="H101" s="216">
        <f t="shared" si="39"/>
        <v>2037600000</v>
      </c>
      <c r="I101" s="224">
        <f t="shared" si="26"/>
        <v>7409611989.2011375</v>
      </c>
      <c r="J101" s="510">
        <f t="shared" si="27"/>
        <v>7409611.9892011378</v>
      </c>
      <c r="K101" s="510">
        <f t="shared" si="28"/>
        <v>16335398.210514735</v>
      </c>
      <c r="L101" s="510">
        <f t="shared" si="29"/>
        <v>7409.6119892011375</v>
      </c>
      <c r="M101" s="220">
        <f t="shared" si="30"/>
        <v>238224557.23667324</v>
      </c>
      <c r="N101" s="563">
        <v>7409611989</v>
      </c>
      <c r="O101" s="527">
        <v>7409612</v>
      </c>
      <c r="P101" s="527">
        <v>16335398</v>
      </c>
      <c r="Q101" s="527">
        <v>7409.61</v>
      </c>
      <c r="R101" s="564">
        <v>238224557</v>
      </c>
      <c r="S101" s="395">
        <f t="shared" si="31"/>
        <v>2.7145489266880611E-11</v>
      </c>
      <c r="T101" s="524">
        <f t="shared" si="32"/>
        <v>-1.4574126445074383E-9</v>
      </c>
      <c r="U101" s="524">
        <f t="shared" si="33"/>
        <v>1.288702807960784E-8</v>
      </c>
      <c r="V101" s="524">
        <f t="shared" si="34"/>
        <v>2.6846225425871248E-7</v>
      </c>
      <c r="W101" s="550">
        <f t="shared" si="35"/>
        <v>9.9348798729476701E-10</v>
      </c>
    </row>
    <row r="102" spans="3:23" x14ac:dyDescent="0.25">
      <c r="C102" s="213">
        <v>54</v>
      </c>
      <c r="D102" s="214" t="s">
        <v>41</v>
      </c>
      <c r="E102" s="215">
        <f>C102*2.54/100</f>
        <v>1.3715999999999999</v>
      </c>
      <c r="F102" s="213">
        <v>6</v>
      </c>
      <c r="G102" s="214" t="s">
        <v>12</v>
      </c>
      <c r="H102" s="216">
        <f t="shared" si="39"/>
        <v>21600000</v>
      </c>
      <c r="I102" s="224">
        <f t="shared" si="26"/>
        <v>1605852303.9022493</v>
      </c>
      <c r="J102" s="510">
        <f t="shared" si="27"/>
        <v>1605852.3039022493</v>
      </c>
      <c r="K102" s="510">
        <f t="shared" si="28"/>
        <v>3540298.316530874</v>
      </c>
      <c r="L102" s="510">
        <f t="shared" si="29"/>
        <v>1605.8523039022493</v>
      </c>
      <c r="M102" s="392">
        <f t="shared" si="30"/>
        <v>51629350.449408583</v>
      </c>
      <c r="N102" s="563">
        <v>1605852304</v>
      </c>
      <c r="O102" s="527">
        <v>1605852</v>
      </c>
      <c r="P102" s="527">
        <v>3540298</v>
      </c>
      <c r="Q102" s="527">
        <v>1605.85</v>
      </c>
      <c r="R102" s="564">
        <v>51629350</v>
      </c>
      <c r="S102" s="395">
        <f t="shared" si="31"/>
        <v>-6.0871515717720986E-11</v>
      </c>
      <c r="T102" s="524">
        <f t="shared" si="32"/>
        <v>1.8924670007268315E-7</v>
      </c>
      <c r="U102" s="524">
        <f t="shared" si="33"/>
        <v>8.9407966701847634E-8</v>
      </c>
      <c r="V102" s="524">
        <f t="shared" si="34"/>
        <v>1.4346912501383811E-6</v>
      </c>
      <c r="W102" s="550">
        <f t="shared" si="35"/>
        <v>8.7045174775809529E-9</v>
      </c>
    </row>
    <row r="103" spans="3:23" x14ac:dyDescent="0.25">
      <c r="C103" s="213">
        <v>811</v>
      </c>
      <c r="D103" s="214" t="s">
        <v>42</v>
      </c>
      <c r="E103" s="215">
        <f>C103</f>
        <v>811</v>
      </c>
      <c r="F103" s="213">
        <v>35</v>
      </c>
      <c r="G103" s="214" t="s">
        <v>12</v>
      </c>
      <c r="H103" s="216">
        <f t="shared" si="39"/>
        <v>126000000</v>
      </c>
      <c r="I103" s="391">
        <f t="shared" si="26"/>
        <v>15842693.321235385</v>
      </c>
      <c r="J103" s="510">
        <f t="shared" si="27"/>
        <v>15842.693321235385</v>
      </c>
      <c r="K103" s="510">
        <f t="shared" si="28"/>
        <v>34927.160087008044</v>
      </c>
      <c r="L103" s="510">
        <f t="shared" si="29"/>
        <v>15.842693321235386</v>
      </c>
      <c r="M103" s="392">
        <f t="shared" si="30"/>
        <v>509354.41793553397</v>
      </c>
      <c r="N103" s="563">
        <v>15842693</v>
      </c>
      <c r="O103" s="527">
        <v>15842.7</v>
      </c>
      <c r="P103" s="527">
        <v>34927.199999999997</v>
      </c>
      <c r="Q103" s="2293">
        <v>15.842700000000001</v>
      </c>
      <c r="R103" s="564">
        <v>509354</v>
      </c>
      <c r="S103" s="395">
        <f t="shared" si="31"/>
        <v>2.0276563983063967E-8</v>
      </c>
      <c r="T103" s="524">
        <f t="shared" si="32"/>
        <v>-4.21567499928788E-7</v>
      </c>
      <c r="U103" s="524">
        <f t="shared" si="33"/>
        <v>-1.1427494206195644E-6</v>
      </c>
      <c r="V103" s="524">
        <f t="shared" si="34"/>
        <v>-4.2156749990098107E-7</v>
      </c>
      <c r="W103" s="550">
        <f t="shared" si="35"/>
        <v>8.2052009221174242E-7</v>
      </c>
    </row>
    <row r="104" spans="3:23" x14ac:dyDescent="0.25">
      <c r="C104" s="213">
        <v>777</v>
      </c>
      <c r="D104" s="214" t="s">
        <v>46</v>
      </c>
      <c r="E104" s="215">
        <f>C104*63360*2.54/100</f>
        <v>1250460.2879999999</v>
      </c>
      <c r="F104" s="213">
        <v>32</v>
      </c>
      <c r="G104" s="214" t="s">
        <v>12</v>
      </c>
      <c r="H104" s="216">
        <f t="shared" si="39"/>
        <v>115200000</v>
      </c>
      <c r="I104" s="391">
        <f t="shared" si="26"/>
        <v>9394.2453720735302</v>
      </c>
      <c r="J104" s="510">
        <f t="shared" si="27"/>
        <v>9.3942453720735308</v>
      </c>
      <c r="K104" s="510">
        <f t="shared" si="28"/>
        <v>20.710765862471476</v>
      </c>
      <c r="L104" s="510">
        <f t="shared" si="29"/>
        <v>9.3942453720735307E-3</v>
      </c>
      <c r="M104" s="392">
        <f t="shared" si="30"/>
        <v>302.03200216104233</v>
      </c>
      <c r="N104" s="2292">
        <v>9394.25</v>
      </c>
      <c r="O104" s="2293">
        <v>9.3942499999999995</v>
      </c>
      <c r="P104" s="2293">
        <v>20.710799999999999</v>
      </c>
      <c r="Q104" s="2293">
        <v>9.3942499999999998E-3</v>
      </c>
      <c r="R104" s="2294">
        <v>302.03199999999998</v>
      </c>
      <c r="S104" s="395">
        <f t="shared" si="31"/>
        <v>-4.9263419108931157E-7</v>
      </c>
      <c r="T104" s="524">
        <f t="shared" si="32"/>
        <v>-4.9263419097737034E-7</v>
      </c>
      <c r="U104" s="524">
        <f t="shared" si="33"/>
        <v>-1.6482987036689951E-6</v>
      </c>
      <c r="V104" s="524">
        <f t="shared" si="34"/>
        <v>-4.9263419102168827E-7</v>
      </c>
      <c r="W104" s="550">
        <f t="shared" si="35"/>
        <v>7.155011159407988E-9</v>
      </c>
    </row>
    <row r="105" spans="3:23" x14ac:dyDescent="0.25">
      <c r="C105" s="213">
        <v>500</v>
      </c>
      <c r="D105" s="214" t="s">
        <v>43</v>
      </c>
      <c r="E105" s="215">
        <f>C105/1000</f>
        <v>0.5</v>
      </c>
      <c r="F105" s="213">
        <v>3</v>
      </c>
      <c r="G105" s="214" t="s">
        <v>12</v>
      </c>
      <c r="H105" s="216">
        <f t="shared" si="39"/>
        <v>10800000</v>
      </c>
      <c r="I105" s="224">
        <f t="shared" si="26"/>
        <v>2202587020.0323253</v>
      </c>
      <c r="J105" s="510">
        <f t="shared" si="27"/>
        <v>2202587.0200323253</v>
      </c>
      <c r="K105" s="510">
        <f t="shared" si="28"/>
        <v>4855873.1709537469</v>
      </c>
      <c r="L105" s="510">
        <f t="shared" si="29"/>
        <v>2202.5870200323252</v>
      </c>
      <c r="M105" s="392">
        <f t="shared" si="30"/>
        <v>70814817.076408818</v>
      </c>
      <c r="N105" s="563">
        <v>2202587020</v>
      </c>
      <c r="O105" s="527">
        <v>2202587</v>
      </c>
      <c r="P105" s="527">
        <v>4855873</v>
      </c>
      <c r="Q105" s="527">
        <v>2202.59</v>
      </c>
      <c r="R105" s="564">
        <v>70814817</v>
      </c>
      <c r="S105" s="395">
        <f t="shared" si="31"/>
        <v>1.4676045712497497E-11</v>
      </c>
      <c r="T105" s="524">
        <f t="shared" si="32"/>
        <v>9.0949075390332519E-9</v>
      </c>
      <c r="U105" s="524">
        <f t="shared" si="33"/>
        <v>3.5205562597402859E-8</v>
      </c>
      <c r="V105" s="524">
        <f t="shared" si="34"/>
        <v>-1.3529398147922001E-6</v>
      </c>
      <c r="W105" s="550">
        <f t="shared" si="35"/>
        <v>1.0789947855361776E-9</v>
      </c>
    </row>
    <row r="106" spans="3:23" x14ac:dyDescent="0.25">
      <c r="C106" s="213">
        <v>1112</v>
      </c>
      <c r="D106" s="214" t="s">
        <v>44</v>
      </c>
      <c r="E106" s="215">
        <f>C106*0.9144</f>
        <v>1016.8128</v>
      </c>
      <c r="F106" s="213">
        <v>8900</v>
      </c>
      <c r="G106" s="214" t="s">
        <v>12</v>
      </c>
      <c r="H106" s="216">
        <f t="shared" si="39"/>
        <v>32040000000</v>
      </c>
      <c r="I106" s="224">
        <f t="shared" si="26"/>
        <v>3213148719.5885835</v>
      </c>
      <c r="J106" s="510">
        <f t="shared" si="27"/>
        <v>3213148.7195885833</v>
      </c>
      <c r="K106" s="510">
        <f t="shared" si="28"/>
        <v>7083780.3545694193</v>
      </c>
      <c r="L106" s="510">
        <f t="shared" si="29"/>
        <v>3213.1487195885834</v>
      </c>
      <c r="M106" s="220">
        <f t="shared" si="30"/>
        <v>103305130.17080404</v>
      </c>
      <c r="N106" s="563">
        <v>3213148720</v>
      </c>
      <c r="O106" s="527">
        <v>3213149</v>
      </c>
      <c r="P106" s="527">
        <v>7083780</v>
      </c>
      <c r="Q106" s="527">
        <v>3213.15</v>
      </c>
      <c r="R106" s="564">
        <v>103305130</v>
      </c>
      <c r="S106" s="395">
        <f t="shared" si="31"/>
        <v>-1.2804154631902917E-10</v>
      </c>
      <c r="T106" s="524">
        <f t="shared" si="32"/>
        <v>-8.7269977562888502E-8</v>
      </c>
      <c r="U106" s="524">
        <f t="shared" si="33"/>
        <v>5.0053700360490257E-8</v>
      </c>
      <c r="V106" s="524">
        <f t="shared" si="34"/>
        <v>-3.9849117748432301E-7</v>
      </c>
      <c r="W106" s="550">
        <f t="shared" si="35"/>
        <v>1.6533935764993537E-9</v>
      </c>
    </row>
    <row r="107" spans="3:23" ht="15.75" thickBot="1" x14ac:dyDescent="0.3">
      <c r="C107" s="227">
        <v>10000</v>
      </c>
      <c r="D107" s="228" t="s">
        <v>156</v>
      </c>
      <c r="E107" s="229">
        <f>C107/1000000</f>
        <v>0.01</v>
      </c>
      <c r="F107" s="227">
        <v>3</v>
      </c>
      <c r="G107" s="228" t="s">
        <v>12</v>
      </c>
      <c r="H107" s="230">
        <f t="shared" si="39"/>
        <v>10800000</v>
      </c>
      <c r="I107" s="375">
        <f t="shared" si="26"/>
        <v>110129351001.61626</v>
      </c>
      <c r="J107" s="577">
        <f t="shared" si="27"/>
        <v>110129351.00161625</v>
      </c>
      <c r="K107" s="577">
        <f t="shared" si="28"/>
        <v>242793658.54768732</v>
      </c>
      <c r="L107" s="507">
        <f t="shared" si="29"/>
        <v>110129.35100161625</v>
      </c>
      <c r="M107" s="578">
        <f t="shared" si="30"/>
        <v>3540740853.8204403</v>
      </c>
      <c r="N107" s="565">
        <v>110129351002</v>
      </c>
      <c r="O107" s="552">
        <v>110129351</v>
      </c>
      <c r="P107" s="552">
        <v>242793659</v>
      </c>
      <c r="Q107" s="552">
        <v>110129</v>
      </c>
      <c r="R107" s="566">
        <v>3540740854</v>
      </c>
      <c r="S107" s="554">
        <f t="shared" si="31"/>
        <v>-3.4844778675503198E-12</v>
      </c>
      <c r="T107" s="235">
        <f t="shared" si="32"/>
        <v>1.4675964528901708E-11</v>
      </c>
      <c r="U107" s="235">
        <f t="shared" si="33"/>
        <v>-1.8629509551619507E-9</v>
      </c>
      <c r="V107" s="235">
        <f t="shared" si="34"/>
        <v>3.1871759258989903E-6</v>
      </c>
      <c r="W107" s="236">
        <f t="shared" si="35"/>
        <v>-5.0712468111824002E-11</v>
      </c>
    </row>
    <row r="108" spans="3:23" ht="15.75" thickTop="1" x14ac:dyDescent="0.25"/>
  </sheetData>
  <mergeCells count="31">
    <mergeCell ref="Y48:AF48"/>
    <mergeCell ref="Y49:AF49"/>
    <mergeCell ref="S73:W73"/>
    <mergeCell ref="S74:W74"/>
    <mergeCell ref="C73:H73"/>
    <mergeCell ref="C74:E74"/>
    <mergeCell ref="F74:H74"/>
    <mergeCell ref="I73:M73"/>
    <mergeCell ref="I74:M74"/>
    <mergeCell ref="N73:R73"/>
    <mergeCell ref="N74:R74"/>
    <mergeCell ref="C48:H48"/>
    <mergeCell ref="C49:E49"/>
    <mergeCell ref="F49:H49"/>
    <mergeCell ref="I48:P48"/>
    <mergeCell ref="Q49:X49"/>
    <mergeCell ref="Q48:X48"/>
    <mergeCell ref="I49:P49"/>
    <mergeCell ref="C2:J2"/>
    <mergeCell ref="C4:E4"/>
    <mergeCell ref="H4:I4"/>
    <mergeCell ref="C8:H8"/>
    <mergeCell ref="I8:L8"/>
    <mergeCell ref="Q8:T8"/>
    <mergeCell ref="C9:E9"/>
    <mergeCell ref="F9:H9"/>
    <mergeCell ref="I9:L9"/>
    <mergeCell ref="M9:P9"/>
    <mergeCell ref="Q9:T9"/>
    <mergeCell ref="M8:P8"/>
    <mergeCell ref="E6:G6"/>
  </mergeCells>
  <conditionalFormatting sqref="Q11:T45 Y51:AF70 S76:W107">
    <cfRule type="cellIs" priority="2" operator="notBetween">
      <formula>-0.01</formula>
      <formula>0.01</formula>
    </cfRule>
    <cfRule type="cellIs" dxfId="17" priority="1" operator="notBetween">
      <formula>-0.001</formula>
      <formula>0.001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AG65"/>
  <sheetViews>
    <sheetView zoomScaleNormal="100" workbookViewId="0">
      <selection activeCell="B2" sqref="B2"/>
    </sheetView>
  </sheetViews>
  <sheetFormatPr defaultColWidth="18.7109375" defaultRowHeight="15" x14ac:dyDescent="0.25"/>
  <cols>
    <col min="1" max="2" width="5.7109375" style="5" customWidth="1"/>
    <col min="3" max="3" width="12.7109375" style="5" customWidth="1"/>
    <col min="4" max="4" width="10.7109375" style="5" customWidth="1"/>
    <col min="5" max="5" width="18.7109375" style="5"/>
    <col min="6" max="6" width="12.7109375" style="5" customWidth="1"/>
    <col min="7" max="7" width="10.7109375" style="5" customWidth="1"/>
    <col min="8" max="9" width="18.7109375" style="5"/>
    <col min="10" max="10" width="18.7109375" style="5" customWidth="1"/>
    <col min="11" max="12" width="18.7109375" style="5"/>
    <col min="13" max="13" width="21.7109375" style="5" bestFit="1" customWidth="1"/>
    <col min="14" max="16384" width="18.7109375" style="5"/>
  </cols>
  <sheetData>
    <row r="2" spans="3:20" ht="21" x14ac:dyDescent="0.35">
      <c r="C2" s="2490" t="s">
        <v>26</v>
      </c>
      <c r="D2" s="2491"/>
      <c r="E2" s="2491"/>
      <c r="F2" s="2491"/>
      <c r="G2" s="2491"/>
      <c r="H2" s="2491"/>
      <c r="I2" s="2491"/>
      <c r="J2" s="2491"/>
    </row>
    <row r="4" spans="3:20" x14ac:dyDescent="0.25">
      <c r="C4" s="2501" t="s">
        <v>22</v>
      </c>
      <c r="D4" s="2502"/>
      <c r="E4" s="2503"/>
      <c r="F4" s="20"/>
      <c r="G4" s="20"/>
      <c r="H4" s="2501" t="s">
        <v>23</v>
      </c>
      <c r="I4" s="2503"/>
    </row>
    <row r="5" spans="3:20" ht="15.75" thickBot="1" x14ac:dyDescent="0.3"/>
    <row r="6" spans="3:20" s="9" customFormat="1" ht="19.5" thickBot="1" x14ac:dyDescent="0.35">
      <c r="E6" s="2497" t="s">
        <v>124</v>
      </c>
      <c r="F6" s="2498"/>
      <c r="G6" s="2499"/>
    </row>
    <row r="7" spans="3:20" ht="15.75" thickBot="1" x14ac:dyDescent="0.3"/>
    <row r="8" spans="3:20" ht="15.75" thickTop="1" x14ac:dyDescent="0.25">
      <c r="C8" s="2488" t="s">
        <v>0</v>
      </c>
      <c r="D8" s="2489"/>
      <c r="E8" s="2489"/>
      <c r="F8" s="2489"/>
      <c r="G8" s="2489"/>
      <c r="H8" s="2495"/>
      <c r="I8" s="2484" t="s">
        <v>7</v>
      </c>
      <c r="J8" s="2484"/>
      <c r="K8" s="2484"/>
      <c r="L8" s="2485"/>
      <c r="M8" s="2488" t="s">
        <v>17</v>
      </c>
      <c r="N8" s="2489"/>
      <c r="O8" s="2489"/>
      <c r="P8" s="2495"/>
      <c r="Q8" s="2484" t="s">
        <v>8</v>
      </c>
      <c r="R8" s="2484"/>
      <c r="S8" s="2484"/>
      <c r="T8" s="2485"/>
    </row>
    <row r="9" spans="3:20" ht="15.75" thickBot="1" x14ac:dyDescent="0.3">
      <c r="C9" s="2486" t="s">
        <v>135</v>
      </c>
      <c r="D9" s="2487"/>
      <c r="E9" s="2487"/>
      <c r="F9" s="2500" t="s">
        <v>48</v>
      </c>
      <c r="G9" s="2487"/>
      <c r="H9" s="2496"/>
      <c r="I9" s="2481" t="s">
        <v>134</v>
      </c>
      <c r="J9" s="2481"/>
      <c r="K9" s="2481"/>
      <c r="L9" s="2482"/>
      <c r="M9" s="2486" t="s">
        <v>134</v>
      </c>
      <c r="N9" s="2487"/>
      <c r="O9" s="2487"/>
      <c r="P9" s="2496"/>
      <c r="Q9" s="2481" t="s">
        <v>134</v>
      </c>
      <c r="R9" s="2481"/>
      <c r="S9" s="2481"/>
      <c r="T9" s="2482"/>
    </row>
    <row r="10" spans="3:20" ht="15.75" thickBot="1" x14ac:dyDescent="0.3">
      <c r="C10" s="14" t="s">
        <v>3</v>
      </c>
      <c r="D10" s="65" t="s">
        <v>4</v>
      </c>
      <c r="E10" s="50" t="s">
        <v>47</v>
      </c>
      <c r="F10" s="51" t="s">
        <v>3</v>
      </c>
      <c r="G10" s="65" t="s">
        <v>4</v>
      </c>
      <c r="H10" s="52" t="s">
        <v>42</v>
      </c>
      <c r="I10" s="53" t="s">
        <v>25</v>
      </c>
      <c r="J10" s="79" t="s">
        <v>10</v>
      </c>
      <c r="K10" s="79" t="s">
        <v>11</v>
      </c>
      <c r="L10" s="54" t="s">
        <v>12</v>
      </c>
      <c r="M10" s="14" t="s">
        <v>25</v>
      </c>
      <c r="N10" s="80" t="s">
        <v>10</v>
      </c>
      <c r="O10" s="80" t="s">
        <v>11</v>
      </c>
      <c r="P10" s="52" t="s">
        <v>12</v>
      </c>
      <c r="Q10" s="53" t="s">
        <v>25</v>
      </c>
      <c r="R10" s="79" t="s">
        <v>10</v>
      </c>
      <c r="S10" s="79" t="s">
        <v>11</v>
      </c>
      <c r="T10" s="54" t="s">
        <v>12</v>
      </c>
    </row>
    <row r="11" spans="3:20" ht="16.5" thickTop="1" thickBot="1" x14ac:dyDescent="0.3">
      <c r="C11" s="583">
        <v>0.5</v>
      </c>
      <c r="D11" s="584" t="s">
        <v>47</v>
      </c>
      <c r="E11" s="585">
        <f>C11</f>
        <v>0.5</v>
      </c>
      <c r="F11" s="583">
        <v>154</v>
      </c>
      <c r="G11" s="584" t="s">
        <v>39</v>
      </c>
      <c r="H11" s="585">
        <f>F11/100</f>
        <v>1.54</v>
      </c>
      <c r="I11" s="586">
        <f>J11/1000</f>
        <v>5.9289999999999994E-4</v>
      </c>
      <c r="J11" s="494">
        <f>0.5*E11*(H11*H11)</f>
        <v>0.59289999999999998</v>
      </c>
      <c r="K11" s="494">
        <f>I11/4.187</f>
        <v>1.4160496775734413E-4</v>
      </c>
      <c r="L11" s="495">
        <f>I11/3600</f>
        <v>1.6469444444444444E-7</v>
      </c>
      <c r="M11" s="2301">
        <v>5.9290000000000005E-4</v>
      </c>
      <c r="N11" s="2297">
        <v>0.59289999999999998</v>
      </c>
      <c r="O11" s="2302">
        <v>1.41605E-4</v>
      </c>
      <c r="P11" s="2303">
        <v>1.6469444444444401E-7</v>
      </c>
      <c r="Q11" s="587">
        <f xml:space="preserve"> (I11-M11)/I11</f>
        <v>-1.82864255774246E-16</v>
      </c>
      <c r="R11" s="496">
        <f xml:space="preserve"> (J11-N11)/J11</f>
        <v>0</v>
      </c>
      <c r="S11" s="496">
        <f xml:space="preserve"> (K11-O11)/K11</f>
        <v>-2.2769438371922855E-7</v>
      </c>
      <c r="T11" s="610">
        <f xml:space="preserve"> (L11-P11)/L11</f>
        <v>2.5715285968253343E-15</v>
      </c>
    </row>
    <row r="12" spans="3:20" ht="16.5" thickTop="1" thickBot="1" x14ac:dyDescent="0.3">
      <c r="C12" s="588">
        <v>500</v>
      </c>
      <c r="D12" s="268" t="s">
        <v>47</v>
      </c>
      <c r="E12" s="589">
        <f>C12</f>
        <v>500</v>
      </c>
      <c r="F12" s="588">
        <v>96</v>
      </c>
      <c r="G12" s="268" t="s">
        <v>40</v>
      </c>
      <c r="H12" s="589">
        <f>F12*0.3048</f>
        <v>29.260800000000003</v>
      </c>
      <c r="I12" s="590">
        <f t="shared" ref="I12:I18" si="0">J12/1000</f>
        <v>214.04860416000005</v>
      </c>
      <c r="J12" s="603">
        <f t="shared" ref="J12:J18" si="1">0.5*E12*(H12*H12)</f>
        <v>214048.60416000005</v>
      </c>
      <c r="K12" s="603">
        <f t="shared" ref="K12:K18" si="2">I12/4.187</f>
        <v>51.122188717458812</v>
      </c>
      <c r="L12" s="591">
        <f t="shared" ref="L12:L18" si="3">I12/3600</f>
        <v>5.9457945600000013E-2</v>
      </c>
      <c r="M12" s="2298">
        <v>214.04900000000001</v>
      </c>
      <c r="N12" s="2296">
        <v>214049</v>
      </c>
      <c r="O12" s="2299">
        <v>51.122199999999999</v>
      </c>
      <c r="P12" s="2304">
        <v>5.9457900000000001E-2</v>
      </c>
      <c r="Q12" s="592">
        <f t="shared" ref="Q12:Q18" si="4" xml:space="preserve"> (I12-M12)/I12</f>
        <v>-1.8492996088748504E-6</v>
      </c>
      <c r="R12" s="271">
        <f t="shared" ref="R12:R18" si="5" xml:space="preserve"> (J12-N12)/J12</f>
        <v>-1.849299608876975E-6</v>
      </c>
      <c r="S12" s="271">
        <f t="shared" ref="S12:S18" si="6" xml:space="preserve"> (K12-O12)/K12</f>
        <v>-2.2069753800833369E-7</v>
      </c>
      <c r="T12" s="272">
        <f t="shared" ref="T12:T18" si="7" xml:space="preserve"> (L12-P12)/L12</f>
        <v>7.6692861739374344E-7</v>
      </c>
    </row>
    <row r="13" spans="3:20" ht="16.5" thickTop="1" thickBot="1" x14ac:dyDescent="0.3">
      <c r="C13" s="593">
        <v>459</v>
      </c>
      <c r="D13" s="328" t="s">
        <v>47</v>
      </c>
      <c r="E13" s="594">
        <f t="shared" ref="E13:E18" si="8">C13</f>
        <v>459</v>
      </c>
      <c r="F13" s="593">
        <v>15</v>
      </c>
      <c r="G13" s="328" t="s">
        <v>41</v>
      </c>
      <c r="H13" s="594">
        <f>F13*2.54/100</f>
        <v>0.38100000000000001</v>
      </c>
      <c r="I13" s="595">
        <f t="shared" si="0"/>
        <v>3.3314449500000003E-2</v>
      </c>
      <c r="J13" s="604">
        <f t="shared" si="1"/>
        <v>33.314449500000002</v>
      </c>
      <c r="K13" s="604">
        <f t="shared" si="2"/>
        <v>7.9566394793408168E-3</v>
      </c>
      <c r="L13" s="596">
        <f t="shared" si="3"/>
        <v>9.2540137500000008E-6</v>
      </c>
      <c r="M13" s="2305">
        <v>3.3314400000000001E-2</v>
      </c>
      <c r="N13" s="2300">
        <v>33.314399999999999</v>
      </c>
      <c r="O13" s="2306">
        <v>7.9566399999999992E-3</v>
      </c>
      <c r="P13" s="2307">
        <v>9.2540137500000008E-6</v>
      </c>
      <c r="Q13" s="597">
        <f t="shared" si="4"/>
        <v>1.4858417516909878E-6</v>
      </c>
      <c r="R13" s="608">
        <f t="shared" si="5"/>
        <v>1.4858417517276462E-6</v>
      </c>
      <c r="S13" s="608">
        <f t="shared" si="6"/>
        <v>-6.5437070987894998E-8</v>
      </c>
      <c r="T13" s="611">
        <f t="shared" si="7"/>
        <v>0</v>
      </c>
    </row>
    <row r="14" spans="3:20" ht="16.5" thickTop="1" thickBot="1" x14ac:dyDescent="0.3">
      <c r="C14" s="598">
        <v>56</v>
      </c>
      <c r="D14" s="411" t="s">
        <v>47</v>
      </c>
      <c r="E14" s="599">
        <f t="shared" si="8"/>
        <v>56</v>
      </c>
      <c r="F14" s="598">
        <v>456</v>
      </c>
      <c r="G14" s="411" t="s">
        <v>42</v>
      </c>
      <c r="H14" s="599">
        <f>F14</f>
        <v>456</v>
      </c>
      <c r="I14" s="600">
        <f t="shared" si="0"/>
        <v>5822.2079999999996</v>
      </c>
      <c r="J14" s="605">
        <f t="shared" si="1"/>
        <v>5822208</v>
      </c>
      <c r="K14" s="606">
        <f t="shared" si="2"/>
        <v>1390.5440649629804</v>
      </c>
      <c r="L14" s="601">
        <f t="shared" si="3"/>
        <v>1.6172799999999998</v>
      </c>
      <c r="M14" s="2312">
        <v>5822.21</v>
      </c>
      <c r="N14" s="607">
        <v>5822208</v>
      </c>
      <c r="O14" s="2313">
        <v>1390.54</v>
      </c>
      <c r="P14" s="2317">
        <v>1.6172800000000001</v>
      </c>
      <c r="Q14" s="602">
        <f t="shared" si="4"/>
        <v>-3.435122895656517E-7</v>
      </c>
      <c r="R14" s="609">
        <f t="shared" si="5"/>
        <v>0</v>
      </c>
      <c r="S14" s="609">
        <f t="shared" si="6"/>
        <v>2.9232895834717682E-6</v>
      </c>
      <c r="T14" s="612">
        <f t="shared" si="7"/>
        <v>-1.3729509109432587E-16</v>
      </c>
    </row>
    <row r="15" spans="3:20" ht="16.5" thickTop="1" thickBot="1" x14ac:dyDescent="0.3">
      <c r="C15" s="1668">
        <v>1025</v>
      </c>
      <c r="D15" s="1669" t="s">
        <v>47</v>
      </c>
      <c r="E15" s="1670">
        <f t="shared" si="8"/>
        <v>1025</v>
      </c>
      <c r="F15" s="1668">
        <v>68</v>
      </c>
      <c r="G15" s="1669" t="s">
        <v>46</v>
      </c>
      <c r="H15" s="1670">
        <f>F15*63360*2.54/100</f>
        <v>109435.39199999999</v>
      </c>
      <c r="I15" s="1668">
        <f t="shared" si="0"/>
        <v>6137753823.8742523</v>
      </c>
      <c r="J15" s="1671">
        <f t="shared" si="1"/>
        <v>6137753823874.252</v>
      </c>
      <c r="K15" s="1671">
        <f t="shared" si="2"/>
        <v>1465907290.1538696</v>
      </c>
      <c r="L15" s="1672">
        <f t="shared" si="3"/>
        <v>1704931.6177428479</v>
      </c>
      <c r="M15" s="1673">
        <v>6137753824</v>
      </c>
      <c r="N15" s="1674">
        <v>6137753823874</v>
      </c>
      <c r="O15" s="1674">
        <v>1465907290</v>
      </c>
      <c r="P15" s="1675">
        <v>1704932</v>
      </c>
      <c r="Q15" s="1676">
        <f t="shared" si="4"/>
        <v>-2.0487573185965362E-11</v>
      </c>
      <c r="R15" s="1677">
        <f t="shared" si="5"/>
        <v>4.104972799983741E-14</v>
      </c>
      <c r="S15" s="1677">
        <f t="shared" si="6"/>
        <v>1.0496545718801836E-10</v>
      </c>
      <c r="T15" s="1678">
        <f t="shared" si="7"/>
        <v>-2.2420673541264656E-7</v>
      </c>
    </row>
    <row r="16" spans="3:20" ht="16.5" thickTop="1" thickBot="1" x14ac:dyDescent="0.3">
      <c r="C16" s="1825">
        <v>12548</v>
      </c>
      <c r="D16" s="1826" t="s">
        <v>47</v>
      </c>
      <c r="E16" s="1827">
        <f t="shared" si="8"/>
        <v>12548</v>
      </c>
      <c r="F16" s="1825">
        <v>4562</v>
      </c>
      <c r="G16" s="1826" t="s">
        <v>43</v>
      </c>
      <c r="H16" s="1827">
        <f>F16/1000</f>
        <v>4.5620000000000003</v>
      </c>
      <c r="I16" s="1828">
        <f t="shared" si="0"/>
        <v>130.57350925600002</v>
      </c>
      <c r="J16" s="1829">
        <f t="shared" si="1"/>
        <v>130573.50925600002</v>
      </c>
      <c r="K16" s="1830">
        <f t="shared" si="2"/>
        <v>31.185457190351091</v>
      </c>
      <c r="L16" s="1831">
        <f t="shared" si="3"/>
        <v>3.6270419237777782E-2</v>
      </c>
      <c r="M16" s="2314">
        <v>130.57400000000001</v>
      </c>
      <c r="N16" s="2308">
        <v>130574</v>
      </c>
      <c r="O16" s="2315">
        <v>31.185500000000001</v>
      </c>
      <c r="P16" s="2316">
        <v>3.6270400000000001E-2</v>
      </c>
      <c r="Q16" s="1832">
        <f t="shared" si="4"/>
        <v>-3.7583733698048521E-6</v>
      </c>
      <c r="R16" s="1833">
        <f t="shared" si="5"/>
        <v>-3.7583733697351985E-6</v>
      </c>
      <c r="S16" s="1833">
        <f t="shared" si="6"/>
        <v>-1.372743989255394E-6</v>
      </c>
      <c r="T16" s="1834">
        <f t="shared" si="7"/>
        <v>5.3039855024544809E-7</v>
      </c>
    </row>
    <row r="17" spans="3:32" ht="16.5" thickTop="1" thickBot="1" x14ac:dyDescent="0.3">
      <c r="C17" s="1957">
        <v>126</v>
      </c>
      <c r="D17" s="1958" t="s">
        <v>47</v>
      </c>
      <c r="E17" s="1959">
        <f t="shared" si="8"/>
        <v>126</v>
      </c>
      <c r="F17" s="1957">
        <v>1258</v>
      </c>
      <c r="G17" s="1958" t="s">
        <v>44</v>
      </c>
      <c r="H17" s="1959">
        <f>F17*0.9144</f>
        <v>1150.3152</v>
      </c>
      <c r="I17" s="1960">
        <f t="shared" si="0"/>
        <v>83363.178739115523</v>
      </c>
      <c r="J17" s="1961">
        <f t="shared" si="1"/>
        <v>83363178.739115521</v>
      </c>
      <c r="K17" s="1962">
        <f t="shared" si="2"/>
        <v>19910.002087202178</v>
      </c>
      <c r="L17" s="1963">
        <f t="shared" si="3"/>
        <v>23.156438538643201</v>
      </c>
      <c r="M17" s="2309">
        <v>83363.199999999997</v>
      </c>
      <c r="N17" s="2310">
        <v>83363179</v>
      </c>
      <c r="O17" s="2310">
        <v>19910</v>
      </c>
      <c r="P17" s="2311">
        <v>23.156400000000001</v>
      </c>
      <c r="Q17" s="1964">
        <f t="shared" si="4"/>
        <v>-2.5503927268137669E-7</v>
      </c>
      <c r="R17" s="1965">
        <f t="shared" si="5"/>
        <v>-3.1294929324213534E-9</v>
      </c>
      <c r="S17" s="1965">
        <f t="shared" si="6"/>
        <v>1.0483184123481727E-7</v>
      </c>
      <c r="T17" s="1966">
        <f t="shared" si="7"/>
        <v>1.6642733352560526E-6</v>
      </c>
    </row>
    <row r="18" spans="3:32" ht="16.5" thickTop="1" thickBot="1" x14ac:dyDescent="0.3">
      <c r="C18" s="2006">
        <v>17</v>
      </c>
      <c r="D18" s="2007" t="s">
        <v>47</v>
      </c>
      <c r="E18" s="2008">
        <f t="shared" si="8"/>
        <v>17</v>
      </c>
      <c r="F18" s="2006">
        <v>896</v>
      </c>
      <c r="G18" s="2007" t="s">
        <v>156</v>
      </c>
      <c r="H18" s="2008">
        <f>F18/1000000</f>
        <v>8.9599999999999999E-4</v>
      </c>
      <c r="I18" s="2321">
        <f t="shared" si="0"/>
        <v>6.8239359999999999E-9</v>
      </c>
      <c r="J18" s="2322">
        <f t="shared" si="1"/>
        <v>6.8239360000000002E-6</v>
      </c>
      <c r="K18" s="2322">
        <f t="shared" si="2"/>
        <v>1.62979125865775E-9</v>
      </c>
      <c r="L18" s="2323">
        <f t="shared" si="3"/>
        <v>1.8955377777777777E-12</v>
      </c>
      <c r="M18" s="2318">
        <v>6.8239359999999999E-9</v>
      </c>
      <c r="N18" s="2319">
        <v>6.8239360000000002E-6</v>
      </c>
      <c r="O18" s="2319">
        <v>1.62979125865775E-9</v>
      </c>
      <c r="P18" s="2320">
        <v>1.8955377777777801E-12</v>
      </c>
      <c r="Q18" s="2009">
        <f t="shared" si="4"/>
        <v>0</v>
      </c>
      <c r="R18" s="2010">
        <f t="shared" si="5"/>
        <v>0</v>
      </c>
      <c r="S18" s="2010">
        <f t="shared" si="6"/>
        <v>0</v>
      </c>
      <c r="T18" s="2011">
        <f t="shared" si="7"/>
        <v>-1.2784660528791908E-15</v>
      </c>
    </row>
    <row r="19" spans="3:32" ht="15.75" thickTop="1" x14ac:dyDescent="0.25"/>
    <row r="20" spans="3:32" ht="15.75" thickBot="1" x14ac:dyDescent="0.3"/>
    <row r="21" spans="3:32" ht="15.75" thickTop="1" x14ac:dyDescent="0.25">
      <c r="C21" s="2488" t="s">
        <v>0</v>
      </c>
      <c r="D21" s="2489"/>
      <c r="E21" s="2489"/>
      <c r="F21" s="2489"/>
      <c r="G21" s="2489"/>
      <c r="H21" s="2489"/>
      <c r="I21" s="2483" t="s">
        <v>7</v>
      </c>
      <c r="J21" s="2484"/>
      <c r="K21" s="2484"/>
      <c r="L21" s="2484"/>
      <c r="M21" s="2484"/>
      <c r="N21" s="2484"/>
      <c r="O21" s="2484"/>
      <c r="P21" s="2485"/>
      <c r="Q21" s="2488" t="s">
        <v>17</v>
      </c>
      <c r="R21" s="2489"/>
      <c r="S21" s="2489"/>
      <c r="T21" s="2489"/>
      <c r="U21" s="2489"/>
      <c r="V21" s="2489"/>
      <c r="W21" s="2489"/>
      <c r="X21" s="2495"/>
      <c r="Y21" s="2484" t="s">
        <v>8</v>
      </c>
      <c r="Z21" s="2484"/>
      <c r="AA21" s="2484"/>
      <c r="AB21" s="2484"/>
      <c r="AC21" s="2484"/>
      <c r="AD21" s="2484"/>
      <c r="AE21" s="2484"/>
      <c r="AF21" s="2485"/>
    </row>
    <row r="22" spans="3:32" ht="15.75" thickBot="1" x14ac:dyDescent="0.3">
      <c r="C22" s="2486" t="s">
        <v>135</v>
      </c>
      <c r="D22" s="2487"/>
      <c r="E22" s="2487"/>
      <c r="F22" s="2500" t="s">
        <v>134</v>
      </c>
      <c r="G22" s="2487"/>
      <c r="H22" s="2487"/>
      <c r="I22" s="2480" t="s">
        <v>48</v>
      </c>
      <c r="J22" s="2481"/>
      <c r="K22" s="2481"/>
      <c r="L22" s="2481"/>
      <c r="M22" s="2481"/>
      <c r="N22" s="2481"/>
      <c r="O22" s="2481"/>
      <c r="P22" s="2482"/>
      <c r="Q22" s="2486" t="s">
        <v>48</v>
      </c>
      <c r="R22" s="2487"/>
      <c r="S22" s="2487"/>
      <c r="T22" s="2487"/>
      <c r="U22" s="2487"/>
      <c r="V22" s="2487"/>
      <c r="W22" s="2487"/>
      <c r="X22" s="2496"/>
      <c r="Y22" s="2481" t="s">
        <v>48</v>
      </c>
      <c r="Z22" s="2481"/>
      <c r="AA22" s="2481"/>
      <c r="AB22" s="2481"/>
      <c r="AC22" s="2481"/>
      <c r="AD22" s="2481"/>
      <c r="AE22" s="2481"/>
      <c r="AF22" s="2482"/>
    </row>
    <row r="23" spans="3:32" ht="15.75" thickBot="1" x14ac:dyDescent="0.3">
      <c r="C23" s="15" t="s">
        <v>3</v>
      </c>
      <c r="D23" s="67" t="s">
        <v>4</v>
      </c>
      <c r="E23" s="501" t="s">
        <v>47</v>
      </c>
      <c r="F23" s="500" t="s">
        <v>3</v>
      </c>
      <c r="G23" s="67" t="s">
        <v>4</v>
      </c>
      <c r="H23" s="501" t="s">
        <v>10</v>
      </c>
      <c r="I23" s="17" t="s">
        <v>39</v>
      </c>
      <c r="J23" s="617" t="s">
        <v>40</v>
      </c>
      <c r="K23" s="617" t="s">
        <v>41</v>
      </c>
      <c r="L23" s="617" t="s">
        <v>42</v>
      </c>
      <c r="M23" s="617" t="s">
        <v>46</v>
      </c>
      <c r="N23" s="617" t="s">
        <v>43</v>
      </c>
      <c r="O23" s="617" t="s">
        <v>44</v>
      </c>
      <c r="P23" s="19" t="s">
        <v>156</v>
      </c>
      <c r="Q23" s="15" t="s">
        <v>39</v>
      </c>
      <c r="R23" s="122" t="s">
        <v>40</v>
      </c>
      <c r="S23" s="122" t="s">
        <v>41</v>
      </c>
      <c r="T23" s="122" t="s">
        <v>42</v>
      </c>
      <c r="U23" s="122" t="s">
        <v>46</v>
      </c>
      <c r="V23" s="122" t="s">
        <v>43</v>
      </c>
      <c r="W23" s="122" t="s">
        <v>44</v>
      </c>
      <c r="X23" s="16" t="s">
        <v>156</v>
      </c>
      <c r="Y23" s="18" t="s">
        <v>39</v>
      </c>
      <c r="Z23" s="617" t="s">
        <v>40</v>
      </c>
      <c r="AA23" s="617" t="s">
        <v>41</v>
      </c>
      <c r="AB23" s="617" t="s">
        <v>42</v>
      </c>
      <c r="AC23" s="617" t="s">
        <v>46</v>
      </c>
      <c r="AD23" s="617" t="s">
        <v>43</v>
      </c>
      <c r="AE23" s="617" t="s">
        <v>44</v>
      </c>
      <c r="AF23" s="19" t="s">
        <v>156</v>
      </c>
    </row>
    <row r="24" spans="3:32" x14ac:dyDescent="0.25">
      <c r="C24" s="261">
        <v>150</v>
      </c>
      <c r="D24" s="257" t="s">
        <v>47</v>
      </c>
      <c r="E24" s="258">
        <f>C24</f>
        <v>150</v>
      </c>
      <c r="F24" s="262">
        <v>59</v>
      </c>
      <c r="G24" s="257" t="s">
        <v>25</v>
      </c>
      <c r="H24" s="259">
        <f>F24*1000</f>
        <v>59000</v>
      </c>
      <c r="I24" s="263">
        <f>L24*100</f>
        <v>2804.7578623950171</v>
      </c>
      <c r="J24" s="529">
        <f>L24/0.3048</f>
        <v>92.019614907973008</v>
      </c>
      <c r="K24" s="266">
        <f>L24*100/2.54</f>
        <v>1104.2353788956759</v>
      </c>
      <c r="L24" s="529">
        <f>SQRT(2*H24/E24)</f>
        <v>28.047578623950173</v>
      </c>
      <c r="M24" s="529">
        <f>L24/63360/2.54*100</f>
        <v>1.7427957368934283E-2</v>
      </c>
      <c r="N24" s="266">
        <f>L24*1000</f>
        <v>28047.578623950172</v>
      </c>
      <c r="O24" s="529">
        <f>L24/0.9144</f>
        <v>30.673204969324335</v>
      </c>
      <c r="P24" s="264">
        <f>L24*1000000</f>
        <v>28047578.623950172</v>
      </c>
      <c r="Q24" s="2324">
        <v>2804.76</v>
      </c>
      <c r="R24" s="2325">
        <v>92.019599999999997</v>
      </c>
      <c r="S24" s="2325">
        <v>1104.24</v>
      </c>
      <c r="T24" s="2325">
        <v>28.047599999999999</v>
      </c>
      <c r="U24" s="2325">
        <v>1.7427999999999999E-2</v>
      </c>
      <c r="V24" s="2325">
        <v>28047.599999999999</v>
      </c>
      <c r="W24" s="2325">
        <v>30.673200000000001</v>
      </c>
      <c r="X24" s="623">
        <v>28047579</v>
      </c>
      <c r="Y24" s="265">
        <f xml:space="preserve"> (I24-Q24)/I24</f>
        <v>-7.6213530292602208E-7</v>
      </c>
      <c r="Z24" s="621">
        <f t="shared" ref="Z24:AF24" si="9" xml:space="preserve"> (J24-R24)/J24</f>
        <v>1.6200864376193222E-7</v>
      </c>
      <c r="AA24" s="621">
        <f t="shared" si="9"/>
        <v>-4.1848906604575832E-6</v>
      </c>
      <c r="AB24" s="621">
        <f t="shared" si="9"/>
        <v>-7.6213530275882106E-7</v>
      </c>
      <c r="AC24" s="621">
        <f t="shared" si="9"/>
        <v>-2.4461309385427118E-6</v>
      </c>
      <c r="AD24" s="621">
        <f t="shared" si="9"/>
        <v>-7.6213530276388779E-7</v>
      </c>
      <c r="AE24" s="621">
        <f t="shared" si="9"/>
        <v>1.6200864364610755E-7</v>
      </c>
      <c r="AF24" s="613">
        <f t="shared" si="9"/>
        <v>-1.3407568361825939E-8</v>
      </c>
    </row>
    <row r="25" spans="3:32" x14ac:dyDescent="0.25">
      <c r="C25" s="269">
        <v>1698</v>
      </c>
      <c r="D25" s="68" t="s">
        <v>47</v>
      </c>
      <c r="E25" s="28">
        <f>C25</f>
        <v>1698</v>
      </c>
      <c r="F25" s="580">
        <v>459</v>
      </c>
      <c r="G25" s="68" t="s">
        <v>10</v>
      </c>
      <c r="H25" s="28">
        <f>F25</f>
        <v>459</v>
      </c>
      <c r="I25" s="267">
        <f>L25*100</f>
        <v>73.527956751349137</v>
      </c>
      <c r="J25" s="273">
        <f>L25/0.3048</f>
        <v>2.4123345390862574</v>
      </c>
      <c r="K25" s="273">
        <f>L25*100/2.54</f>
        <v>28.948014469035094</v>
      </c>
      <c r="L25" s="273">
        <f>SQRT(2*H25/E25)</f>
        <v>0.73527956751349133</v>
      </c>
      <c r="M25" s="273">
        <f>L25/63360/2.54*100</f>
        <v>4.5688154149360936E-4</v>
      </c>
      <c r="N25" s="273">
        <f>L25*1000</f>
        <v>735.27956751349132</v>
      </c>
      <c r="O25" s="273">
        <f>L25/0.9144</f>
        <v>0.8041115130287525</v>
      </c>
      <c r="P25" s="581">
        <f>L25*1000000</f>
        <v>735279.56751349138</v>
      </c>
      <c r="Q25" s="2326">
        <v>73.528000000000006</v>
      </c>
      <c r="R25" s="2327">
        <v>2.4123299999999999</v>
      </c>
      <c r="S25" s="2327">
        <v>28.948</v>
      </c>
      <c r="T25" s="2327">
        <v>0.73528000000000004</v>
      </c>
      <c r="U25" s="2327">
        <v>4.5688199999999998E-4</v>
      </c>
      <c r="V25" s="2327">
        <v>735.28</v>
      </c>
      <c r="W25" s="2327">
        <v>0.80411200000000005</v>
      </c>
      <c r="X25" s="624">
        <v>735280</v>
      </c>
      <c r="Y25" s="270">
        <f xml:space="preserve"> (I25-Q25)/I25</f>
        <v>-5.8819329108833744E-7</v>
      </c>
      <c r="Z25" s="185">
        <f t="shared" ref="Z25:AF27" si="10" xml:space="preserve"> (J25-R25)/J25</f>
        <v>1.8816155819109816E-6</v>
      </c>
      <c r="AA25" s="185">
        <f t="shared" si="10"/>
        <v>4.9982823896570767E-7</v>
      </c>
      <c r="AB25" s="185">
        <f t="shared" si="10"/>
        <v>-5.8819329113061561E-7</v>
      </c>
      <c r="AC25" s="185">
        <f t="shared" si="10"/>
        <v>-1.0035563904048568E-6</v>
      </c>
      <c r="AD25" s="185">
        <f t="shared" si="10"/>
        <v>-5.881932910496832E-7</v>
      </c>
      <c r="AE25" s="185">
        <f t="shared" si="10"/>
        <v>-6.0560163566664772E-7</v>
      </c>
      <c r="AF25" s="186">
        <f t="shared" si="10"/>
        <v>-5.8819329100391642E-7</v>
      </c>
    </row>
    <row r="26" spans="3:32" ht="15.75" thickBot="1" x14ac:dyDescent="0.3">
      <c r="C26" s="310">
        <v>957</v>
      </c>
      <c r="D26" s="62" t="s">
        <v>47</v>
      </c>
      <c r="E26" s="34">
        <f>C26</f>
        <v>957</v>
      </c>
      <c r="F26" s="582">
        <v>1258</v>
      </c>
      <c r="G26" s="62" t="s">
        <v>11</v>
      </c>
      <c r="H26" s="34">
        <f>F26*4.187*1000</f>
        <v>5267246</v>
      </c>
      <c r="I26" s="168">
        <f>L26*100</f>
        <v>10491.819971358151</v>
      </c>
      <c r="J26" s="167">
        <f>L26/0.3048</f>
        <v>344.21981533327266</v>
      </c>
      <c r="K26" s="167">
        <f>L26*100/2.54</f>
        <v>4130.637783999272</v>
      </c>
      <c r="L26" s="468">
        <f>SQRT(2*H26/E26)</f>
        <v>104.91819971358152</v>
      </c>
      <c r="M26" s="468">
        <f>L26/63360/2.54*100</f>
        <v>6.5193146843422853E-2</v>
      </c>
      <c r="N26" s="167">
        <f>L26*1000</f>
        <v>104918.19971358152</v>
      </c>
      <c r="O26" s="468">
        <f>L26/0.9144</f>
        <v>114.73993844442423</v>
      </c>
      <c r="P26" s="37">
        <f>L26*1000000</f>
        <v>104918199.71358152</v>
      </c>
      <c r="Q26" s="2328">
        <v>10491.8</v>
      </c>
      <c r="R26" s="2329">
        <v>344.22</v>
      </c>
      <c r="S26" s="2329">
        <v>4130.6400000000003</v>
      </c>
      <c r="T26" s="2329">
        <v>104.91800000000001</v>
      </c>
      <c r="U26" s="2329">
        <v>6.5193100000000004E-2</v>
      </c>
      <c r="V26" s="2329">
        <v>104918</v>
      </c>
      <c r="W26" s="2329">
        <v>114.74</v>
      </c>
      <c r="X26" s="625">
        <v>104918200</v>
      </c>
      <c r="Y26" s="334">
        <f xml:space="preserve"> (I26-Q26)/I26</f>
        <v>1.9035170452763978E-6</v>
      </c>
      <c r="Z26" s="156">
        <f t="shared" si="10"/>
        <v>-5.3647907278421219E-7</v>
      </c>
      <c r="AA26" s="156">
        <f t="shared" si="10"/>
        <v>-5.3647907278421219E-7</v>
      </c>
      <c r="AB26" s="156">
        <f t="shared" si="10"/>
        <v>1.9035170452222188E-6</v>
      </c>
      <c r="AC26" s="156">
        <f t="shared" si="10"/>
        <v>7.185329304858149E-7</v>
      </c>
      <c r="AD26" s="156">
        <f t="shared" si="10"/>
        <v>1.9035170453110722E-6</v>
      </c>
      <c r="AE26" s="156">
        <f t="shared" si="10"/>
        <v>-5.3647907261907517E-7</v>
      </c>
      <c r="AF26" s="157">
        <f t="shared" si="10"/>
        <v>-2.7299218195045981E-9</v>
      </c>
    </row>
    <row r="27" spans="3:32" ht="15.75" thickBot="1" x14ac:dyDescent="0.3">
      <c r="C27" s="397">
        <v>4</v>
      </c>
      <c r="D27" s="398" t="s">
        <v>47</v>
      </c>
      <c r="E27" s="399">
        <f>C27</f>
        <v>4</v>
      </c>
      <c r="F27" s="400">
        <v>22569</v>
      </c>
      <c r="G27" s="398" t="s">
        <v>12</v>
      </c>
      <c r="H27" s="399">
        <f>F27*3600*1000</f>
        <v>81248400000</v>
      </c>
      <c r="I27" s="401">
        <f>L27*100</f>
        <v>20155445.91419401</v>
      </c>
      <c r="J27" s="618">
        <f>L27/0.3048</f>
        <v>661267.91057066957</v>
      </c>
      <c r="K27" s="618">
        <f>L27*100/2.54</f>
        <v>7935214.9268480353</v>
      </c>
      <c r="L27" s="618">
        <f>SQRT(2*H27/E27)</f>
        <v>201554.45914194011</v>
      </c>
      <c r="M27" s="619">
        <f>L27/63360/2.54*100</f>
        <v>125.24013457777833</v>
      </c>
      <c r="N27" s="618">
        <f>L27*1000</f>
        <v>201554459.14194012</v>
      </c>
      <c r="O27" s="445">
        <f>L27/0.9144</f>
        <v>220422.63685688988</v>
      </c>
      <c r="P27" s="402">
        <f>L27*1000000</f>
        <v>201554459141.94012</v>
      </c>
      <c r="Q27" s="626">
        <v>20155446</v>
      </c>
      <c r="R27" s="620">
        <v>661268</v>
      </c>
      <c r="S27" s="620">
        <v>7935215</v>
      </c>
      <c r="T27" s="620">
        <v>201554</v>
      </c>
      <c r="U27" s="2330">
        <v>125.24</v>
      </c>
      <c r="V27" s="620">
        <v>201554459</v>
      </c>
      <c r="W27" s="620">
        <v>220423</v>
      </c>
      <c r="X27" s="627">
        <v>201554459142</v>
      </c>
      <c r="Y27" s="614">
        <f xml:space="preserve"> (I27-Q27)/I27</f>
        <v>-4.2572111858590438E-9</v>
      </c>
      <c r="Z27" s="622">
        <f t="shared" si="10"/>
        <v>-1.3523918067159297E-7</v>
      </c>
      <c r="AA27" s="622">
        <f t="shared" si="10"/>
        <v>-9.2186494466279582E-9</v>
      </c>
      <c r="AB27" s="622">
        <f t="shared" si="10"/>
        <v>2.2780043769111265E-6</v>
      </c>
      <c r="AC27" s="622">
        <f t="shared" si="10"/>
        <v>1.0745579186226426E-6</v>
      </c>
      <c r="AD27" s="622">
        <f t="shared" si="10"/>
        <v>7.0422712296514435E-10</v>
      </c>
      <c r="AE27" s="622">
        <f t="shared" si="10"/>
        <v>-1.6474855545789542E-6</v>
      </c>
      <c r="AF27" s="615">
        <f t="shared" si="10"/>
        <v>-2.9706853689148131E-13</v>
      </c>
    </row>
    <row r="28" spans="3:32" ht="15.75" thickTop="1" x14ac:dyDescent="0.25"/>
    <row r="29" spans="3:32" ht="15.75" thickBot="1" x14ac:dyDescent="0.3"/>
    <row r="30" spans="3:32" ht="15.75" thickTop="1" x14ac:dyDescent="0.25">
      <c r="C30" s="2488" t="s">
        <v>0</v>
      </c>
      <c r="D30" s="2489"/>
      <c r="E30" s="2489"/>
      <c r="F30" s="2489"/>
      <c r="G30" s="2489"/>
      <c r="H30" s="2495"/>
      <c r="I30" s="2506" t="s">
        <v>7</v>
      </c>
      <c r="J30" s="2507"/>
      <c r="K30" s="2508"/>
      <c r="L30" s="2509" t="s">
        <v>17</v>
      </c>
      <c r="M30" s="2507"/>
      <c r="N30" s="2508"/>
      <c r="O30" s="2506" t="s">
        <v>8</v>
      </c>
      <c r="P30" s="2507"/>
      <c r="Q30" s="2508"/>
    </row>
    <row r="31" spans="3:32" ht="15.75" thickBot="1" x14ac:dyDescent="0.3">
      <c r="C31" s="2486" t="s">
        <v>48</v>
      </c>
      <c r="D31" s="2487"/>
      <c r="E31" s="2487"/>
      <c r="F31" s="2500" t="s">
        <v>134</v>
      </c>
      <c r="G31" s="2487"/>
      <c r="H31" s="2496"/>
      <c r="I31" s="2480" t="s">
        <v>135</v>
      </c>
      <c r="J31" s="2504"/>
      <c r="K31" s="2505"/>
      <c r="L31" s="2486" t="s">
        <v>135</v>
      </c>
      <c r="M31" s="2504"/>
      <c r="N31" s="2505"/>
      <c r="O31" s="2480" t="s">
        <v>135</v>
      </c>
      <c r="P31" s="2504"/>
      <c r="Q31" s="2505"/>
    </row>
    <row r="32" spans="3:32" ht="15.75" thickBot="1" x14ac:dyDescent="0.3">
      <c r="C32" s="15" t="s">
        <v>3</v>
      </c>
      <c r="D32" s="67" t="s">
        <v>4</v>
      </c>
      <c r="E32" s="501" t="s">
        <v>42</v>
      </c>
      <c r="F32" s="500" t="s">
        <v>3</v>
      </c>
      <c r="G32" s="67" t="s">
        <v>4</v>
      </c>
      <c r="H32" s="16" t="s">
        <v>10</v>
      </c>
      <c r="I32" s="18"/>
      <c r="J32" s="18" t="s">
        <v>47</v>
      </c>
      <c r="K32" s="18"/>
      <c r="L32" s="15"/>
      <c r="M32" s="501" t="s">
        <v>47</v>
      </c>
      <c r="N32" s="16"/>
      <c r="O32" s="18"/>
      <c r="P32" s="18" t="s">
        <v>47</v>
      </c>
      <c r="Q32" s="19"/>
    </row>
    <row r="33" spans="3:17" x14ac:dyDescent="0.25">
      <c r="C33" s="244">
        <v>154</v>
      </c>
      <c r="D33" s="240" t="s">
        <v>39</v>
      </c>
      <c r="E33" s="241">
        <f>C33/100</f>
        <v>1.54</v>
      </c>
      <c r="F33" s="242">
        <v>59</v>
      </c>
      <c r="G33" s="240" t="s">
        <v>25</v>
      </c>
      <c r="H33" s="245">
        <f>F33*1000</f>
        <v>59000</v>
      </c>
      <c r="I33" s="246"/>
      <c r="J33" s="247">
        <f>2*H33/(E33*E33)</f>
        <v>49755.439365828977</v>
      </c>
      <c r="K33" s="246"/>
      <c r="L33" s="237"/>
      <c r="M33" s="247">
        <v>49755.4</v>
      </c>
      <c r="N33" s="243"/>
      <c r="O33" s="241"/>
      <c r="P33" s="248">
        <f xml:space="preserve"> (J33-M33)/J33</f>
        <v>7.9118644067076908E-7</v>
      </c>
      <c r="Q33" s="245"/>
    </row>
    <row r="34" spans="3:17" x14ac:dyDescent="0.25">
      <c r="C34" s="110">
        <v>122</v>
      </c>
      <c r="D34" s="69" t="s">
        <v>40</v>
      </c>
      <c r="E34" s="29">
        <f>C34*0.3048</f>
        <v>37.185600000000001</v>
      </c>
      <c r="F34" s="249">
        <v>1.3</v>
      </c>
      <c r="G34" s="69" t="s">
        <v>25</v>
      </c>
      <c r="H34" s="30">
        <f t="shared" ref="H34:H40" si="11">F34*1000</f>
        <v>1300</v>
      </c>
      <c r="I34" s="180"/>
      <c r="J34" s="250">
        <f t="shared" ref="J34:J64" si="12">2*H34/(E34*E34)</f>
        <v>1.88028534556875</v>
      </c>
      <c r="K34" s="180"/>
      <c r="L34" s="179"/>
      <c r="M34" s="251">
        <v>1.88029</v>
      </c>
      <c r="N34" s="181"/>
      <c r="O34" s="29"/>
      <c r="P34" s="248">
        <f t="shared" ref="P34:P64" si="13" xml:space="preserve"> (J34-M34)/J34</f>
        <v>-2.4753855902467429E-6</v>
      </c>
      <c r="Q34" s="30"/>
    </row>
    <row r="35" spans="3:17" x14ac:dyDescent="0.25">
      <c r="C35" s="110">
        <v>45</v>
      </c>
      <c r="D35" s="69" t="s">
        <v>41</v>
      </c>
      <c r="E35" s="29">
        <f>C35*2.54/100</f>
        <v>1.143</v>
      </c>
      <c r="F35" s="111">
        <v>64</v>
      </c>
      <c r="G35" s="69" t="s">
        <v>25</v>
      </c>
      <c r="H35" s="30">
        <f t="shared" si="11"/>
        <v>64000</v>
      </c>
      <c r="I35" s="180"/>
      <c r="J35" s="252">
        <f t="shared" si="12"/>
        <v>97975.504592984493</v>
      </c>
      <c r="K35" s="180"/>
      <c r="L35" s="179"/>
      <c r="M35" s="252">
        <v>97975.5</v>
      </c>
      <c r="N35" s="181"/>
      <c r="O35" s="29"/>
      <c r="P35" s="248">
        <f t="shared" si="13"/>
        <v>4.6878906231252021E-8</v>
      </c>
      <c r="Q35" s="30"/>
    </row>
    <row r="36" spans="3:17" x14ac:dyDescent="0.25">
      <c r="C36" s="110">
        <v>4896</v>
      </c>
      <c r="D36" s="69" t="s">
        <v>42</v>
      </c>
      <c r="E36" s="29">
        <f>C36</f>
        <v>4896</v>
      </c>
      <c r="F36" s="111">
        <v>16982</v>
      </c>
      <c r="G36" s="69" t="s">
        <v>25</v>
      </c>
      <c r="H36" s="30">
        <f t="shared" si="11"/>
        <v>16982000</v>
      </c>
      <c r="I36" s="180"/>
      <c r="J36" s="250">
        <f t="shared" si="12"/>
        <v>1.4168896044256483</v>
      </c>
      <c r="K36" s="180"/>
      <c r="L36" s="179"/>
      <c r="M36" s="251">
        <v>1.41689</v>
      </c>
      <c r="N36" s="181"/>
      <c r="O36" s="29"/>
      <c r="P36" s="248">
        <f t="shared" si="13"/>
        <v>-2.7918501941410555E-7</v>
      </c>
      <c r="Q36" s="30"/>
    </row>
    <row r="37" spans="3:17" x14ac:dyDescent="0.25">
      <c r="C37" s="110">
        <v>15489</v>
      </c>
      <c r="D37" s="69" t="s">
        <v>46</v>
      </c>
      <c r="E37" s="29">
        <f>C37*63360*2.54/100</f>
        <v>24927129.215999998</v>
      </c>
      <c r="F37" s="111">
        <v>896</v>
      </c>
      <c r="G37" s="69" t="s">
        <v>25</v>
      </c>
      <c r="H37" s="30">
        <f t="shared" si="11"/>
        <v>896000</v>
      </c>
      <c r="I37" s="180"/>
      <c r="J37" s="253">
        <f t="shared" si="12"/>
        <v>2.8839881752893551E-9</v>
      </c>
      <c r="K37" s="180"/>
      <c r="L37" s="179"/>
      <c r="M37" s="254">
        <v>2.8839881752893601E-9</v>
      </c>
      <c r="N37" s="181"/>
      <c r="O37" s="29"/>
      <c r="P37" s="248">
        <f t="shared" si="13"/>
        <v>-1.7209098559567471E-15</v>
      </c>
      <c r="Q37" s="30"/>
    </row>
    <row r="38" spans="3:17" x14ac:dyDescent="0.25">
      <c r="C38" s="110">
        <v>56</v>
      </c>
      <c r="D38" s="69" t="s">
        <v>43</v>
      </c>
      <c r="E38" s="29">
        <f>C38/1000</f>
        <v>5.6000000000000001E-2</v>
      </c>
      <c r="F38" s="111">
        <v>1024</v>
      </c>
      <c r="G38" s="69" t="s">
        <v>25</v>
      </c>
      <c r="H38" s="30">
        <f t="shared" si="11"/>
        <v>1024000</v>
      </c>
      <c r="I38" s="180"/>
      <c r="J38" s="180">
        <f t="shared" si="12"/>
        <v>653061224.4897958</v>
      </c>
      <c r="K38" s="180"/>
      <c r="L38" s="179"/>
      <c r="M38" s="180">
        <v>653061224</v>
      </c>
      <c r="N38" s="181"/>
      <c r="O38" s="29"/>
      <c r="P38" s="248">
        <f t="shared" si="13"/>
        <v>7.4999982491135606E-10</v>
      </c>
      <c r="Q38" s="30"/>
    </row>
    <row r="39" spans="3:17" x14ac:dyDescent="0.25">
      <c r="C39" s="110">
        <v>78</v>
      </c>
      <c r="D39" s="69" t="s">
        <v>44</v>
      </c>
      <c r="E39" s="29">
        <f>C39*0.9144</f>
        <v>71.3232</v>
      </c>
      <c r="F39" s="111">
        <v>512</v>
      </c>
      <c r="G39" s="69" t="s">
        <v>25</v>
      </c>
      <c r="H39" s="30">
        <f t="shared" si="11"/>
        <v>512000</v>
      </c>
      <c r="I39" s="180"/>
      <c r="J39" s="250">
        <f t="shared" si="12"/>
        <v>201.29746998887347</v>
      </c>
      <c r="K39" s="180"/>
      <c r="L39" s="179"/>
      <c r="M39" s="251">
        <v>201.297</v>
      </c>
      <c r="N39" s="181"/>
      <c r="O39" s="29"/>
      <c r="P39" s="248">
        <f t="shared" si="13"/>
        <v>2.3347977175383586E-6</v>
      </c>
      <c r="Q39" s="30"/>
    </row>
    <row r="40" spans="3:17" ht="15.75" thickBot="1" x14ac:dyDescent="0.3">
      <c r="C40" s="183">
        <v>1777</v>
      </c>
      <c r="D40" s="70" t="s">
        <v>156</v>
      </c>
      <c r="E40" s="182">
        <f>C40/1000000</f>
        <v>1.7769999999999999E-3</v>
      </c>
      <c r="F40" s="112">
        <v>68</v>
      </c>
      <c r="G40" s="70" t="s">
        <v>25</v>
      </c>
      <c r="H40" s="31">
        <f t="shared" si="11"/>
        <v>68000</v>
      </c>
      <c r="I40" s="184"/>
      <c r="J40" s="184">
        <f t="shared" si="12"/>
        <v>43068927067.522263</v>
      </c>
      <c r="K40" s="184"/>
      <c r="L40" s="255"/>
      <c r="M40" s="184">
        <v>43068927068</v>
      </c>
      <c r="N40" s="256"/>
      <c r="O40" s="238"/>
      <c r="P40" s="260">
        <f t="shared" si="13"/>
        <v>-1.1092392109253826E-11</v>
      </c>
      <c r="Q40" s="239"/>
    </row>
    <row r="41" spans="3:17" ht="15.75" thickTop="1" x14ac:dyDescent="0.25">
      <c r="C41" s="1332">
        <v>8965</v>
      </c>
      <c r="D41" s="1333" t="s">
        <v>39</v>
      </c>
      <c r="E41" s="1334">
        <f>C41/100</f>
        <v>89.65</v>
      </c>
      <c r="F41" s="1335">
        <v>459</v>
      </c>
      <c r="G41" s="1333" t="s">
        <v>10</v>
      </c>
      <c r="H41" s="1370">
        <f>F41</f>
        <v>459</v>
      </c>
      <c r="I41" s="1428"/>
      <c r="J41" s="1339">
        <f t="shared" si="12"/>
        <v>0.11421998358243263</v>
      </c>
      <c r="K41" s="1428"/>
      <c r="L41" s="1371"/>
      <c r="M41" s="1429">
        <v>0.11422</v>
      </c>
      <c r="N41" s="1430"/>
      <c r="O41" s="1431"/>
      <c r="P41" s="1432">
        <f t="shared" si="13"/>
        <v>-1.4373638360031872E-7</v>
      </c>
      <c r="Q41" s="1370"/>
    </row>
    <row r="42" spans="3:17" x14ac:dyDescent="0.25">
      <c r="C42" s="1268">
        <v>158</v>
      </c>
      <c r="D42" s="1269" t="s">
        <v>40</v>
      </c>
      <c r="E42" s="1254">
        <f>C42*0.3048</f>
        <v>48.1584</v>
      </c>
      <c r="F42" s="1344">
        <v>1125</v>
      </c>
      <c r="G42" s="1269" t="s">
        <v>10</v>
      </c>
      <c r="H42" s="1270">
        <f t="shared" ref="H42:H48" si="14">F42</f>
        <v>1125</v>
      </c>
      <c r="I42" s="1275"/>
      <c r="J42" s="1346">
        <f t="shared" si="12"/>
        <v>0.97014895199474738</v>
      </c>
      <c r="K42" s="1275"/>
      <c r="L42" s="1280"/>
      <c r="M42" s="1433">
        <v>0.97014900000000004</v>
      </c>
      <c r="N42" s="1434"/>
      <c r="O42" s="1435"/>
      <c r="P42" s="1417">
        <f t="shared" si="13"/>
        <v>-4.9482352749239412E-8</v>
      </c>
      <c r="Q42" s="1270"/>
    </row>
    <row r="43" spans="3:17" x14ac:dyDescent="0.25">
      <c r="C43" s="1268">
        <v>756</v>
      </c>
      <c r="D43" s="1269" t="s">
        <v>41</v>
      </c>
      <c r="E43" s="1254">
        <f>C43*2.54/100</f>
        <v>19.202400000000001</v>
      </c>
      <c r="F43" s="1344">
        <v>59</v>
      </c>
      <c r="G43" s="1269" t="s">
        <v>10</v>
      </c>
      <c r="H43" s="1270">
        <f t="shared" si="14"/>
        <v>59</v>
      </c>
      <c r="I43" s="1275"/>
      <c r="J43" s="1346">
        <f t="shared" si="12"/>
        <v>0.32001547724155888</v>
      </c>
      <c r="K43" s="1275"/>
      <c r="L43" s="1280"/>
      <c r="M43" s="1433">
        <v>0.32001499999999999</v>
      </c>
      <c r="N43" s="1434"/>
      <c r="O43" s="1435"/>
      <c r="P43" s="1417">
        <f t="shared" si="13"/>
        <v>1.4913077423517751E-6</v>
      </c>
      <c r="Q43" s="1270"/>
    </row>
    <row r="44" spans="3:17" x14ac:dyDescent="0.25">
      <c r="C44" s="1268">
        <v>5698</v>
      </c>
      <c r="D44" s="1269" t="s">
        <v>42</v>
      </c>
      <c r="E44" s="1254">
        <f>C44</f>
        <v>5698</v>
      </c>
      <c r="F44" s="1344">
        <v>458</v>
      </c>
      <c r="G44" s="1269" t="s">
        <v>10</v>
      </c>
      <c r="H44" s="1270">
        <f t="shared" si="14"/>
        <v>458</v>
      </c>
      <c r="I44" s="1275"/>
      <c r="J44" s="1346">
        <f t="shared" si="12"/>
        <v>2.821308542614264E-5</v>
      </c>
      <c r="K44" s="1275"/>
      <c r="L44" s="1280"/>
      <c r="M44" s="1433">
        <v>2.8213085426142599E-5</v>
      </c>
      <c r="N44" s="1434"/>
      <c r="O44" s="1435"/>
      <c r="P44" s="1417">
        <f t="shared" si="13"/>
        <v>1.441089510562093E-15</v>
      </c>
      <c r="Q44" s="1270"/>
    </row>
    <row r="45" spans="3:17" x14ac:dyDescent="0.25">
      <c r="C45" s="1268">
        <v>4587</v>
      </c>
      <c r="D45" s="1269" t="s">
        <v>46</v>
      </c>
      <c r="E45" s="1254">
        <f>C45*63360*2.54/100</f>
        <v>7382060.9279999994</v>
      </c>
      <c r="F45" s="1344">
        <v>45</v>
      </c>
      <c r="G45" s="1269" t="s">
        <v>10</v>
      </c>
      <c r="H45" s="1270">
        <f t="shared" si="14"/>
        <v>45</v>
      </c>
      <c r="I45" s="1275"/>
      <c r="J45" s="1436">
        <f t="shared" si="12"/>
        <v>1.651533010766968E-12</v>
      </c>
      <c r="K45" s="1275"/>
      <c r="L45" s="1280"/>
      <c r="M45" s="1437">
        <v>1.65153301076697E-12</v>
      </c>
      <c r="N45" s="1434"/>
      <c r="O45" s="1435"/>
      <c r="P45" s="1417">
        <f t="shared" si="13"/>
        <v>-1.2227935525357418E-15</v>
      </c>
      <c r="Q45" s="1270"/>
    </row>
    <row r="46" spans="3:17" x14ac:dyDescent="0.25">
      <c r="C46" s="1268">
        <v>425</v>
      </c>
      <c r="D46" s="1269" t="s">
        <v>43</v>
      </c>
      <c r="E46" s="1254">
        <f>C46/1000</f>
        <v>0.42499999999999999</v>
      </c>
      <c r="F46" s="1438">
        <v>15.9</v>
      </c>
      <c r="G46" s="1269" t="s">
        <v>10</v>
      </c>
      <c r="H46" s="1270">
        <f t="shared" si="14"/>
        <v>15.9</v>
      </c>
      <c r="I46" s="1275"/>
      <c r="J46" s="1346">
        <f t="shared" si="12"/>
        <v>176.05536332179932</v>
      </c>
      <c r="K46" s="1275"/>
      <c r="L46" s="1280"/>
      <c r="M46" s="1433">
        <v>176.05500000000001</v>
      </c>
      <c r="N46" s="1434"/>
      <c r="O46" s="1435"/>
      <c r="P46" s="1417">
        <f t="shared" si="13"/>
        <v>2.0636792453096306E-6</v>
      </c>
      <c r="Q46" s="1270"/>
    </row>
    <row r="47" spans="3:17" x14ac:dyDescent="0.25">
      <c r="C47" s="1268">
        <v>68</v>
      </c>
      <c r="D47" s="1269" t="s">
        <v>44</v>
      </c>
      <c r="E47" s="1254">
        <f>C47*0.9144</f>
        <v>62.179200000000002</v>
      </c>
      <c r="F47" s="1344">
        <v>89</v>
      </c>
      <c r="G47" s="1269" t="s">
        <v>10</v>
      </c>
      <c r="H47" s="1270">
        <f t="shared" si="14"/>
        <v>89</v>
      </c>
      <c r="I47" s="1275"/>
      <c r="J47" s="1346">
        <f t="shared" si="12"/>
        <v>4.6039409221797639E-2</v>
      </c>
      <c r="K47" s="1275"/>
      <c r="L47" s="1280"/>
      <c r="M47" s="1433">
        <v>4.6039400000000001E-2</v>
      </c>
      <c r="N47" s="1434"/>
      <c r="O47" s="1435"/>
      <c r="P47" s="1417">
        <f t="shared" si="13"/>
        <v>2.0030225830197616E-7</v>
      </c>
      <c r="Q47" s="1270"/>
    </row>
    <row r="48" spans="3:17" ht="15.75" thickBot="1" x14ac:dyDescent="0.3">
      <c r="C48" s="1347">
        <v>9658</v>
      </c>
      <c r="D48" s="1348" t="s">
        <v>156</v>
      </c>
      <c r="E48" s="1351">
        <f>C48/1000000</f>
        <v>9.6579999999999999E-3</v>
      </c>
      <c r="F48" s="1350">
        <v>42</v>
      </c>
      <c r="G48" s="1348" t="s">
        <v>10</v>
      </c>
      <c r="H48" s="1375">
        <f t="shared" si="14"/>
        <v>42</v>
      </c>
      <c r="I48" s="1439"/>
      <c r="J48" s="1439">
        <f t="shared" si="12"/>
        <v>900543.88991477038</v>
      </c>
      <c r="K48" s="1439"/>
      <c r="L48" s="1376"/>
      <c r="M48" s="1439">
        <v>900544</v>
      </c>
      <c r="N48" s="1380"/>
      <c r="O48" s="1440"/>
      <c r="P48" s="1441">
        <f t="shared" si="13"/>
        <v>-1.2224304762382971E-7</v>
      </c>
      <c r="Q48" s="1375"/>
    </row>
    <row r="49" spans="3:33" ht="15.75" thickTop="1" x14ac:dyDescent="0.25">
      <c r="C49" s="92">
        <v>11587</v>
      </c>
      <c r="D49" s="61" t="s">
        <v>39</v>
      </c>
      <c r="E49" s="45">
        <f>C49/100</f>
        <v>115.87</v>
      </c>
      <c r="F49" s="107">
        <v>1258</v>
      </c>
      <c r="G49" s="61" t="s">
        <v>11</v>
      </c>
      <c r="H49" s="48">
        <f>F49*4.187*1000</f>
        <v>5267246</v>
      </c>
      <c r="I49" s="46"/>
      <c r="J49" s="97">
        <f t="shared" si="12"/>
        <v>784.64205886180719</v>
      </c>
      <c r="K49" s="46"/>
      <c r="L49" s="44"/>
      <c r="M49" s="298">
        <v>784.64200000000005</v>
      </c>
      <c r="N49" s="47"/>
      <c r="O49" s="45"/>
      <c r="P49" s="299">
        <f t="shared" si="13"/>
        <v>7.5017399932282559E-8</v>
      </c>
      <c r="Q49" s="48"/>
    </row>
    <row r="50" spans="3:33" x14ac:dyDescent="0.25">
      <c r="C50" s="72">
        <v>36</v>
      </c>
      <c r="D50" s="62" t="s">
        <v>40</v>
      </c>
      <c r="E50" s="34">
        <f>C50*0.3048</f>
        <v>10.972800000000001</v>
      </c>
      <c r="F50" s="108">
        <v>13</v>
      </c>
      <c r="G50" s="62" t="s">
        <v>11</v>
      </c>
      <c r="H50" s="35">
        <f t="shared" ref="H50:H56" si="15">F50*4.187*1000</f>
        <v>54431.000000000007</v>
      </c>
      <c r="I50" s="36"/>
      <c r="J50" s="98">
        <f t="shared" si="12"/>
        <v>904.15186403075131</v>
      </c>
      <c r="K50" s="36"/>
      <c r="L50" s="33"/>
      <c r="M50" s="96">
        <v>904.15200000000004</v>
      </c>
      <c r="N50" s="37"/>
      <c r="O50" s="34"/>
      <c r="P50" s="299">
        <f t="shared" si="13"/>
        <v>-1.5038319793437587E-7</v>
      </c>
      <c r="Q50" s="35"/>
    </row>
    <row r="51" spans="3:33" x14ac:dyDescent="0.25">
      <c r="C51" s="72">
        <v>95</v>
      </c>
      <c r="D51" s="62" t="s">
        <v>41</v>
      </c>
      <c r="E51" s="34">
        <f>C51*2.54/100</f>
        <v>2.4130000000000003</v>
      </c>
      <c r="F51" s="108">
        <v>459</v>
      </c>
      <c r="G51" s="62" t="s">
        <v>11</v>
      </c>
      <c r="H51" s="35">
        <f>F51*4.187*1000</f>
        <v>1921833</v>
      </c>
      <c r="I51" s="36"/>
      <c r="J51" s="96">
        <f t="shared" si="12"/>
        <v>660132.32303472899</v>
      </c>
      <c r="K51" s="36"/>
      <c r="L51" s="33"/>
      <c r="M51" s="36">
        <v>660132</v>
      </c>
      <c r="N51" s="37"/>
      <c r="O51" s="34"/>
      <c r="P51" s="299">
        <f t="shared" si="13"/>
        <v>4.8934844988141434E-7</v>
      </c>
      <c r="Q51" s="35"/>
    </row>
    <row r="52" spans="3:33" x14ac:dyDescent="0.25">
      <c r="C52" s="72">
        <v>43</v>
      </c>
      <c r="D52" s="62" t="s">
        <v>42</v>
      </c>
      <c r="E52" s="34">
        <f>C52</f>
        <v>43</v>
      </c>
      <c r="F52" s="108">
        <v>587</v>
      </c>
      <c r="G52" s="62" t="s">
        <v>11</v>
      </c>
      <c r="H52" s="35">
        <f t="shared" si="15"/>
        <v>2457769</v>
      </c>
      <c r="I52" s="36"/>
      <c r="J52" s="96">
        <f t="shared" si="12"/>
        <v>2658.4845862628449</v>
      </c>
      <c r="K52" s="36"/>
      <c r="L52" s="33"/>
      <c r="M52" s="96">
        <v>2658.48</v>
      </c>
      <c r="N52" s="37"/>
      <c r="O52" s="34"/>
      <c r="P52" s="299">
        <f t="shared" si="13"/>
        <v>1.7251417851336689E-6</v>
      </c>
      <c r="Q52" s="35"/>
    </row>
    <row r="53" spans="3:33" x14ac:dyDescent="0.25">
      <c r="C53" s="33">
        <v>6</v>
      </c>
      <c r="D53" s="62" t="s">
        <v>46</v>
      </c>
      <c r="E53" s="34">
        <f>C53*63360*2.54/100</f>
        <v>9656.0640000000003</v>
      </c>
      <c r="F53" s="108">
        <v>357</v>
      </c>
      <c r="G53" s="62" t="s">
        <v>11</v>
      </c>
      <c r="H53" s="35">
        <f t="shared" si="15"/>
        <v>1494759</v>
      </c>
      <c r="I53" s="36"/>
      <c r="J53" s="98">
        <f t="shared" si="12"/>
        <v>3.2062759800041543E-2</v>
      </c>
      <c r="K53" s="36"/>
      <c r="L53" s="33"/>
      <c r="M53" s="300">
        <v>3.2062800000000002E-2</v>
      </c>
      <c r="N53" s="37"/>
      <c r="O53" s="34"/>
      <c r="P53" s="299">
        <f xml:space="preserve"> (J53-M53)/J53</f>
        <v>-1.2537897146091225E-6</v>
      </c>
      <c r="Q53" s="35"/>
    </row>
    <row r="54" spans="3:33" x14ac:dyDescent="0.25">
      <c r="C54" s="72">
        <v>4562</v>
      </c>
      <c r="D54" s="62" t="s">
        <v>43</v>
      </c>
      <c r="E54" s="34">
        <f>C54/1000</f>
        <v>4.5620000000000003</v>
      </c>
      <c r="F54" s="108">
        <v>6485</v>
      </c>
      <c r="G54" s="62" t="s">
        <v>11</v>
      </c>
      <c r="H54" s="35">
        <f t="shared" si="15"/>
        <v>27152695.000000004</v>
      </c>
      <c r="I54" s="36"/>
      <c r="J54" s="96">
        <f t="shared" si="12"/>
        <v>2609350.2334536044</v>
      </c>
      <c r="K54" s="36"/>
      <c r="L54" s="33"/>
      <c r="M54" s="36">
        <v>2609350</v>
      </c>
      <c r="N54" s="37"/>
      <c r="O54" s="34"/>
      <c r="P54" s="299">
        <f t="shared" si="13"/>
        <v>8.9468098762548997E-8</v>
      </c>
      <c r="Q54" s="35"/>
    </row>
    <row r="55" spans="3:33" x14ac:dyDescent="0.25">
      <c r="C55" s="72">
        <v>36</v>
      </c>
      <c r="D55" s="62" t="s">
        <v>44</v>
      </c>
      <c r="E55" s="34">
        <f>C55*0.9144</f>
        <v>32.918399999999998</v>
      </c>
      <c r="F55" s="108">
        <v>1698</v>
      </c>
      <c r="G55" s="62" t="s">
        <v>11</v>
      </c>
      <c r="H55" s="35">
        <f t="shared" si="15"/>
        <v>7109526.0000000009</v>
      </c>
      <c r="I55" s="36"/>
      <c r="J55" s="96">
        <f t="shared" si="12"/>
        <v>13121.793719010395</v>
      </c>
      <c r="K55" s="36"/>
      <c r="L55" s="33"/>
      <c r="M55" s="96">
        <v>13121.8</v>
      </c>
      <c r="N55" s="37"/>
      <c r="O55" s="34"/>
      <c r="P55" s="299">
        <f t="shared" si="13"/>
        <v>-4.7866852192016643E-7</v>
      </c>
      <c r="Q55" s="35"/>
    </row>
    <row r="56" spans="3:33" ht="15.75" thickBot="1" x14ac:dyDescent="0.3">
      <c r="C56" s="106">
        <v>7</v>
      </c>
      <c r="D56" s="63" t="s">
        <v>156</v>
      </c>
      <c r="E56" s="39">
        <f>C56/1000000</f>
        <v>6.9999999999999999E-6</v>
      </c>
      <c r="F56" s="301">
        <v>8</v>
      </c>
      <c r="G56" s="63" t="s">
        <v>11</v>
      </c>
      <c r="H56" s="40">
        <f t="shared" si="15"/>
        <v>33496</v>
      </c>
      <c r="I56" s="41"/>
      <c r="J56" s="302">
        <f t="shared" si="12"/>
        <v>1367183673469387.7</v>
      </c>
      <c r="K56" s="41"/>
      <c r="L56" s="38"/>
      <c r="M56" s="302">
        <v>1367183673469390</v>
      </c>
      <c r="N56" s="42"/>
      <c r="O56" s="294"/>
      <c r="P56" s="297">
        <f t="shared" si="13"/>
        <v>-1.6457188918079771E-15</v>
      </c>
      <c r="Q56" s="291"/>
    </row>
    <row r="57" spans="3:33" ht="15.75" thickTop="1" x14ac:dyDescent="0.25">
      <c r="C57" s="382">
        <v>3587</v>
      </c>
      <c r="D57" s="383" t="s">
        <v>39</v>
      </c>
      <c r="E57" s="384">
        <f>C57/100</f>
        <v>35.869999999999997</v>
      </c>
      <c r="F57" s="385">
        <v>64</v>
      </c>
      <c r="G57" s="383" t="s">
        <v>12</v>
      </c>
      <c r="H57" s="390">
        <f>F57*3600*1000</f>
        <v>230400000</v>
      </c>
      <c r="I57" s="393"/>
      <c r="J57" s="394">
        <f t="shared" si="12"/>
        <v>358137.43353025976</v>
      </c>
      <c r="K57" s="393"/>
      <c r="L57" s="386"/>
      <c r="M57" s="393">
        <v>358137</v>
      </c>
      <c r="N57" s="387"/>
      <c r="O57" s="420"/>
      <c r="P57" s="628">
        <f t="shared" si="13"/>
        <v>1.2105136720493032E-6</v>
      </c>
      <c r="Q57" s="390"/>
      <c r="AF57" s="1427"/>
      <c r="AG57" s="1427"/>
    </row>
    <row r="58" spans="3:33" x14ac:dyDescent="0.25">
      <c r="C58" s="213">
        <v>71</v>
      </c>
      <c r="D58" s="214" t="s">
        <v>40</v>
      </c>
      <c r="E58" s="215">
        <f>C58*0.3048</f>
        <v>21.640800000000002</v>
      </c>
      <c r="F58" s="354">
        <v>499</v>
      </c>
      <c r="G58" s="214" t="s">
        <v>12</v>
      </c>
      <c r="H58" s="216">
        <f>F58*3600*1000</f>
        <v>1796400000</v>
      </c>
      <c r="I58" s="356"/>
      <c r="J58" s="359">
        <f t="shared" si="12"/>
        <v>7671608.2811257048</v>
      </c>
      <c r="K58" s="356"/>
      <c r="L58" s="224"/>
      <c r="M58" s="356">
        <v>7671608</v>
      </c>
      <c r="N58" s="360"/>
      <c r="O58" s="412"/>
      <c r="P58" s="395">
        <f t="shared" si="13"/>
        <v>3.6644950374945089E-8</v>
      </c>
      <c r="Q58" s="216"/>
    </row>
    <row r="59" spans="3:33" x14ac:dyDescent="0.25">
      <c r="C59" s="213">
        <v>89</v>
      </c>
      <c r="D59" s="214" t="s">
        <v>41</v>
      </c>
      <c r="E59" s="215">
        <f>C59*2.54/100</f>
        <v>2.2606000000000002</v>
      </c>
      <c r="F59" s="354">
        <v>74</v>
      </c>
      <c r="G59" s="214" t="s">
        <v>12</v>
      </c>
      <c r="H59" s="216">
        <f t="shared" ref="H59:H64" si="16">F59*3600*1000</f>
        <v>266400000</v>
      </c>
      <c r="I59" s="356"/>
      <c r="J59" s="356">
        <f t="shared" si="12"/>
        <v>104259771.70600975</v>
      </c>
      <c r="K59" s="356"/>
      <c r="L59" s="224"/>
      <c r="M59" s="356">
        <v>104259772</v>
      </c>
      <c r="N59" s="360"/>
      <c r="O59" s="412"/>
      <c r="P59" s="395">
        <f t="shared" si="13"/>
        <v>-2.8197860938267761E-9</v>
      </c>
      <c r="Q59" s="216"/>
    </row>
    <row r="60" spans="3:33" x14ac:dyDescent="0.25">
      <c r="C60" s="213">
        <v>2</v>
      </c>
      <c r="D60" s="214" t="s">
        <v>42</v>
      </c>
      <c r="E60" s="215">
        <f>C60</f>
        <v>2</v>
      </c>
      <c r="F60" s="354">
        <v>89</v>
      </c>
      <c r="G60" s="214" t="s">
        <v>12</v>
      </c>
      <c r="H60" s="216">
        <f t="shared" si="16"/>
        <v>320400000</v>
      </c>
      <c r="I60" s="356"/>
      <c r="J60" s="396">
        <f t="shared" si="12"/>
        <v>160200000</v>
      </c>
      <c r="K60" s="356"/>
      <c r="L60" s="224"/>
      <c r="M60" s="356">
        <v>160200000</v>
      </c>
      <c r="N60" s="360"/>
      <c r="O60" s="412"/>
      <c r="P60" s="395">
        <f t="shared" si="13"/>
        <v>0</v>
      </c>
      <c r="Q60" s="216"/>
    </row>
    <row r="61" spans="3:33" x14ac:dyDescent="0.25">
      <c r="C61" s="213">
        <v>43</v>
      </c>
      <c r="D61" s="214" t="s">
        <v>46</v>
      </c>
      <c r="E61" s="215">
        <f>C61*63360*2.54/100</f>
        <v>69201.792000000001</v>
      </c>
      <c r="F61" s="354">
        <v>124</v>
      </c>
      <c r="G61" s="214" t="s">
        <v>12</v>
      </c>
      <c r="H61" s="216">
        <f t="shared" si="16"/>
        <v>446400000</v>
      </c>
      <c r="I61" s="356"/>
      <c r="J61" s="357">
        <f t="shared" si="12"/>
        <v>0.18643158850551414</v>
      </c>
      <c r="K61" s="356"/>
      <c r="L61" s="224"/>
      <c r="M61" s="356">
        <v>0.18643199999999999</v>
      </c>
      <c r="N61" s="360"/>
      <c r="O61" s="412"/>
      <c r="P61" s="395">
        <f t="shared" si="13"/>
        <v>-2.2072143950793192E-6</v>
      </c>
      <c r="Q61" s="216"/>
    </row>
    <row r="62" spans="3:33" x14ac:dyDescent="0.25">
      <c r="C62" s="213">
        <v>287</v>
      </c>
      <c r="D62" s="214" t="s">
        <v>43</v>
      </c>
      <c r="E62" s="215">
        <f>C62/1000</f>
        <v>0.28699999999999998</v>
      </c>
      <c r="F62" s="354">
        <v>12587</v>
      </c>
      <c r="G62" s="214" t="s">
        <v>12</v>
      </c>
      <c r="H62" s="216">
        <f t="shared" si="16"/>
        <v>45313200000</v>
      </c>
      <c r="I62" s="356"/>
      <c r="J62" s="356">
        <f t="shared" si="12"/>
        <v>1100248880039.821</v>
      </c>
      <c r="K62" s="356"/>
      <c r="L62" s="224"/>
      <c r="M62" s="356">
        <v>1100248880040</v>
      </c>
      <c r="N62" s="360"/>
      <c r="O62" s="412"/>
      <c r="P62" s="395">
        <f t="shared" si="13"/>
        <v>-1.6264963443409561E-13</v>
      </c>
      <c r="Q62" s="216"/>
    </row>
    <row r="63" spans="3:33" x14ac:dyDescent="0.25">
      <c r="C63" s="213">
        <v>1258</v>
      </c>
      <c r="D63" s="214" t="s">
        <v>44</v>
      </c>
      <c r="E63" s="215">
        <f>C63*0.9144</f>
        <v>1150.3152</v>
      </c>
      <c r="F63" s="354">
        <v>687</v>
      </c>
      <c r="G63" s="214" t="s">
        <v>12</v>
      </c>
      <c r="H63" s="216">
        <f t="shared" si="16"/>
        <v>2473200000</v>
      </c>
      <c r="I63" s="356"/>
      <c r="J63" s="359">
        <f t="shared" si="12"/>
        <v>3738.1396044796061</v>
      </c>
      <c r="K63" s="356"/>
      <c r="L63" s="224"/>
      <c r="M63" s="356">
        <v>3738.14</v>
      </c>
      <c r="N63" s="360"/>
      <c r="O63" s="412"/>
      <c r="P63" s="395">
        <f t="shared" si="13"/>
        <v>-1.0580674764551211E-7</v>
      </c>
      <c r="Q63" s="216"/>
    </row>
    <row r="64" spans="3:33" ht="15.75" thickBot="1" x14ac:dyDescent="0.3">
      <c r="C64" s="227">
        <v>539</v>
      </c>
      <c r="D64" s="228" t="s">
        <v>156</v>
      </c>
      <c r="E64" s="229">
        <f>C64/1000000</f>
        <v>5.3899999999999998E-4</v>
      </c>
      <c r="F64" s="362">
        <v>23</v>
      </c>
      <c r="G64" s="228" t="s">
        <v>12</v>
      </c>
      <c r="H64" s="230">
        <f t="shared" si="16"/>
        <v>82800000</v>
      </c>
      <c r="I64" s="232"/>
      <c r="J64" s="616">
        <f t="shared" si="12"/>
        <v>570010429538656.5</v>
      </c>
      <c r="K64" s="232"/>
      <c r="L64" s="375"/>
      <c r="M64" s="232">
        <v>570010429538656</v>
      </c>
      <c r="N64" s="381"/>
      <c r="O64" s="422"/>
      <c r="P64" s="554">
        <f t="shared" si="13"/>
        <v>8.7717693236714966E-16</v>
      </c>
      <c r="Q64" s="230"/>
    </row>
    <row r="65" spans="3:17" ht="15.75" thickTop="1" x14ac:dyDescent="0.25">
      <c r="C65" s="26"/>
      <c r="D65" s="26"/>
      <c r="E65" s="26"/>
      <c r="F65" s="26"/>
      <c r="G65" s="26"/>
      <c r="H65" s="26"/>
      <c r="I65" s="27"/>
      <c r="J65" s="27"/>
      <c r="K65" s="27"/>
      <c r="L65" s="27"/>
      <c r="M65" s="27"/>
      <c r="N65" s="27"/>
      <c r="O65" s="26"/>
      <c r="P65" s="26"/>
      <c r="Q65" s="26"/>
    </row>
  </sheetData>
  <mergeCells count="31">
    <mergeCell ref="Y21:AF21"/>
    <mergeCell ref="Y22:AF22"/>
    <mergeCell ref="C30:H30"/>
    <mergeCell ref="C31:E31"/>
    <mergeCell ref="F31:H31"/>
    <mergeCell ref="I31:K31"/>
    <mergeCell ref="L31:N31"/>
    <mergeCell ref="I30:K30"/>
    <mergeCell ref="O31:Q31"/>
    <mergeCell ref="L30:N30"/>
    <mergeCell ref="O30:Q30"/>
    <mergeCell ref="Q22:X22"/>
    <mergeCell ref="C21:H21"/>
    <mergeCell ref="C22:E22"/>
    <mergeCell ref="F22:H22"/>
    <mergeCell ref="I22:P22"/>
    <mergeCell ref="M8:P8"/>
    <mergeCell ref="M9:P9"/>
    <mergeCell ref="Q8:T8"/>
    <mergeCell ref="Q9:T9"/>
    <mergeCell ref="Q21:X21"/>
    <mergeCell ref="I21:P21"/>
    <mergeCell ref="C2:J2"/>
    <mergeCell ref="C4:E4"/>
    <mergeCell ref="H4:I4"/>
    <mergeCell ref="C8:H8"/>
    <mergeCell ref="C9:E9"/>
    <mergeCell ref="F9:H9"/>
    <mergeCell ref="I8:L8"/>
    <mergeCell ref="I9:L9"/>
    <mergeCell ref="E6:G6"/>
  </mergeCells>
  <conditionalFormatting sqref="P33:P64 Y24:AF27 Q11:T18">
    <cfRule type="cellIs" dxfId="16" priority="2" operator="notBetween">
      <formula>-0.01</formula>
      <formula>0.01</formula>
    </cfRule>
    <cfRule type="cellIs" dxfId="15" priority="1" operator="notBetween">
      <formula>-0.001</formula>
      <formula>0.001</formula>
    </cfRule>
  </conditionalFormatting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AL147"/>
  <sheetViews>
    <sheetView zoomScaleNormal="100" workbookViewId="0">
      <selection activeCell="B2" sqref="B2"/>
    </sheetView>
  </sheetViews>
  <sheetFormatPr defaultColWidth="18.7109375" defaultRowHeight="15" x14ac:dyDescent="0.25"/>
  <cols>
    <col min="1" max="2" width="5.7109375" style="5" customWidth="1"/>
    <col min="3" max="3" width="12.7109375" style="5" customWidth="1"/>
    <col min="4" max="4" width="10.7109375" style="5" customWidth="1"/>
    <col min="5" max="5" width="18.7109375" style="5"/>
    <col min="6" max="6" width="12.7109375" style="5" customWidth="1"/>
    <col min="7" max="7" width="10.7109375" style="5" customWidth="1"/>
    <col min="8" max="16384" width="18.7109375" style="5"/>
  </cols>
  <sheetData>
    <row r="2" spans="3:38" ht="21" x14ac:dyDescent="0.35">
      <c r="C2" s="2490" t="s">
        <v>26</v>
      </c>
      <c r="D2" s="2491"/>
      <c r="E2" s="2491"/>
      <c r="F2" s="2491"/>
      <c r="G2" s="2491"/>
      <c r="H2" s="2491"/>
      <c r="I2" s="2491"/>
      <c r="J2" s="2491"/>
    </row>
    <row r="3" spans="3:38" x14ac:dyDescent="0.25"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3:38" x14ac:dyDescent="0.25">
      <c r="C4" s="2501" t="s">
        <v>22</v>
      </c>
      <c r="D4" s="2502"/>
      <c r="E4" s="2503"/>
      <c r="F4" s="20"/>
      <c r="G4" s="20"/>
      <c r="H4" s="2501" t="s">
        <v>23</v>
      </c>
      <c r="I4" s="2503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3:38" ht="15.75" thickBot="1" x14ac:dyDescent="0.3"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3:38" s="9" customFormat="1" ht="19.5" thickBot="1" x14ac:dyDescent="0.35">
      <c r="E6" s="2497" t="s">
        <v>69</v>
      </c>
      <c r="F6" s="2498"/>
      <c r="G6" s="2499"/>
    </row>
    <row r="7" spans="3:38" ht="15.75" thickBot="1" x14ac:dyDescent="0.3"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3:38" ht="15.75" thickTop="1" x14ac:dyDescent="0.25">
      <c r="C8" s="2488" t="s">
        <v>0</v>
      </c>
      <c r="D8" s="2489"/>
      <c r="E8" s="2489"/>
      <c r="F8" s="2489"/>
      <c r="G8" s="2489"/>
      <c r="H8" s="2489"/>
      <c r="I8" s="2483" t="s">
        <v>158</v>
      </c>
      <c r="J8" s="2484"/>
      <c r="K8" s="2484"/>
      <c r="L8" s="2485"/>
      <c r="M8" s="2489" t="s">
        <v>17</v>
      </c>
      <c r="N8" s="2489"/>
      <c r="O8" s="2489"/>
      <c r="P8" s="2489"/>
      <c r="Q8" s="2483" t="s">
        <v>8</v>
      </c>
      <c r="R8" s="2484"/>
      <c r="S8" s="2484"/>
      <c r="T8" s="2485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3:38" ht="15.75" thickBot="1" x14ac:dyDescent="0.3">
      <c r="C9" s="2486" t="s">
        <v>137</v>
      </c>
      <c r="D9" s="2487"/>
      <c r="E9" s="2487"/>
      <c r="F9" s="2486" t="s">
        <v>138</v>
      </c>
      <c r="G9" s="2487"/>
      <c r="H9" s="2487"/>
      <c r="I9" s="2480" t="s">
        <v>134</v>
      </c>
      <c r="J9" s="2481"/>
      <c r="K9" s="2481"/>
      <c r="L9" s="2482"/>
      <c r="M9" s="2486" t="s">
        <v>134</v>
      </c>
      <c r="N9" s="2487"/>
      <c r="O9" s="2487"/>
      <c r="P9" s="2496"/>
      <c r="Q9" s="2480" t="s">
        <v>134</v>
      </c>
      <c r="R9" s="2481"/>
      <c r="S9" s="2481"/>
      <c r="T9" s="2482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3:38" ht="18" thickBot="1" x14ac:dyDescent="0.3">
      <c r="C10" s="82" t="s">
        <v>3</v>
      </c>
      <c r="D10" s="66" t="s">
        <v>4</v>
      </c>
      <c r="E10" s="84" t="s">
        <v>61</v>
      </c>
      <c r="F10" s="82" t="s">
        <v>3</v>
      </c>
      <c r="G10" s="66" t="s">
        <v>4</v>
      </c>
      <c r="H10" s="84" t="s">
        <v>53</v>
      </c>
      <c r="I10" s="86" t="s">
        <v>25</v>
      </c>
      <c r="J10" s="87" t="s">
        <v>10</v>
      </c>
      <c r="K10" s="87" t="s">
        <v>11</v>
      </c>
      <c r="L10" s="88" t="s">
        <v>12</v>
      </c>
      <c r="M10" s="84" t="s">
        <v>25</v>
      </c>
      <c r="N10" s="83" t="s">
        <v>10</v>
      </c>
      <c r="O10" s="83" t="s">
        <v>11</v>
      </c>
      <c r="P10" s="84" t="s">
        <v>12</v>
      </c>
      <c r="Q10" s="86" t="s">
        <v>25</v>
      </c>
      <c r="R10" s="808" t="s">
        <v>10</v>
      </c>
      <c r="S10" s="87" t="s">
        <v>11</v>
      </c>
      <c r="T10" s="88" t="s">
        <v>12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6"/>
      <c r="AK10" s="6"/>
      <c r="AL10" s="6"/>
    </row>
    <row r="11" spans="3:38" ht="15.75" thickTop="1" x14ac:dyDescent="0.25">
      <c r="C11" s="1051">
        <v>378</v>
      </c>
      <c r="D11" s="1052" t="s">
        <v>55</v>
      </c>
      <c r="E11" s="1053">
        <f>C11/0.00001019716</f>
        <v>37069144.742261574</v>
      </c>
      <c r="F11" s="1051">
        <v>621</v>
      </c>
      <c r="G11" s="1052" t="s">
        <v>49</v>
      </c>
      <c r="H11" s="1053">
        <f>F11/100000</f>
        <v>6.2100000000000002E-3</v>
      </c>
      <c r="I11" s="1051">
        <f>J11/1000</f>
        <v>230.19938884944438</v>
      </c>
      <c r="J11" s="1054">
        <f>E11*H11</f>
        <v>230199.38884944437</v>
      </c>
      <c r="K11" s="1054">
        <f>I11/4.187</f>
        <v>54.979553104715635</v>
      </c>
      <c r="L11" s="1055">
        <f>I11/3600</f>
        <v>6.3944274680401217E-2</v>
      </c>
      <c r="M11" s="1053">
        <v>230.19900000000001</v>
      </c>
      <c r="N11" s="1054">
        <v>230199</v>
      </c>
      <c r="O11" s="1054">
        <v>54.979599999999998</v>
      </c>
      <c r="P11" s="1053">
        <v>6.3944299999999996E-2</v>
      </c>
      <c r="Q11" s="980">
        <f xml:space="preserve"> (I11-M11)/I11</f>
        <v>1.6891853897024054E-6</v>
      </c>
      <c r="R11" s="1058">
        <f xml:space="preserve"> (J11-N11)/J11</f>
        <v>1.6891853897211722E-6</v>
      </c>
      <c r="S11" s="981">
        <f xml:space="preserve"> (K11-O11)/K11</f>
        <v>-8.5295863125667501E-7</v>
      </c>
      <c r="T11" s="982">
        <f xml:space="preserve"> (L11-P11)/L11</f>
        <v>-3.9596349955123231E-7</v>
      </c>
      <c r="U11" s="6"/>
      <c r="V11" s="6"/>
      <c r="W11" s="6"/>
      <c r="X11" s="6"/>
      <c r="Y11" s="6"/>
      <c r="Z11" s="6"/>
      <c r="AA11" s="4"/>
      <c r="AB11" s="4"/>
      <c r="AC11" s="4"/>
      <c r="AD11" s="4"/>
      <c r="AE11" s="4"/>
      <c r="AF11" s="4"/>
      <c r="AG11" s="4"/>
      <c r="AH11" s="4"/>
      <c r="AI11" s="4"/>
      <c r="AJ11" s="6"/>
      <c r="AK11" s="6"/>
      <c r="AL11" s="6"/>
    </row>
    <row r="12" spans="3:38" x14ac:dyDescent="0.25">
      <c r="C12" s="1059">
        <v>12584</v>
      </c>
      <c r="D12" s="59" t="s">
        <v>56</v>
      </c>
      <c r="E12" s="32">
        <f>C12/0.000009869233</f>
        <v>1275073756.9981375</v>
      </c>
      <c r="F12" s="1059">
        <v>651</v>
      </c>
      <c r="G12" s="59" t="s">
        <v>49</v>
      </c>
      <c r="H12" s="32">
        <f>F12/100000</f>
        <v>6.5100000000000002E-3</v>
      </c>
      <c r="I12" s="1059">
        <f t="shared" ref="I12:I64" si="0">J12/1000</f>
        <v>8300.7301580578751</v>
      </c>
      <c r="J12" s="1060">
        <f t="shared" ref="J12:J64" si="1">E12*H12</f>
        <v>8300730.158057875</v>
      </c>
      <c r="K12" s="1060">
        <f t="shared" ref="K12:K64" si="2">I12/4.187</f>
        <v>1982.5006348358907</v>
      </c>
      <c r="L12" s="889">
        <f t="shared" ref="L12:L64" si="3">I12/3600</f>
        <v>2.3057583772382988</v>
      </c>
      <c r="M12" s="1061">
        <v>8300.73</v>
      </c>
      <c r="N12" s="1062">
        <v>8300730</v>
      </c>
      <c r="O12" s="1062">
        <v>1982.5</v>
      </c>
      <c r="P12" s="1061">
        <v>2.3057599999999998</v>
      </c>
      <c r="Q12" s="897">
        <f t="shared" ref="Q12:Q64" si="4" xml:space="preserve"> (I12-M12)/I12</f>
        <v>1.9041442441105712E-8</v>
      </c>
      <c r="R12" s="1063">
        <f t="shared" ref="R12:R64" si="5" xml:space="preserve"> (J12-N12)/J12</f>
        <v>1.9041442377994524E-8</v>
      </c>
      <c r="S12" s="898">
        <f t="shared" ref="S12:S64" si="6" xml:space="preserve"> (K12-O12)/K12</f>
        <v>3.2021976663995932E-7</v>
      </c>
      <c r="T12" s="899">
        <f t="shared" ref="T12:T64" si="7" xml:space="preserve"> (L12-P12)/L12</f>
        <v>-7.037865359327654E-7</v>
      </c>
      <c r="U12" s="6"/>
      <c r="V12" s="6"/>
      <c r="W12" s="6"/>
      <c r="X12" s="6"/>
      <c r="Y12" s="6"/>
      <c r="Z12" s="6"/>
      <c r="AA12" s="4"/>
      <c r="AB12" s="4"/>
      <c r="AC12" s="4"/>
      <c r="AD12" s="4"/>
      <c r="AE12" s="4"/>
      <c r="AF12" s="4"/>
      <c r="AG12" s="4"/>
      <c r="AH12" s="4"/>
      <c r="AI12" s="4"/>
      <c r="AJ12" s="6"/>
      <c r="AK12" s="6"/>
      <c r="AL12" s="6"/>
    </row>
    <row r="13" spans="3:38" x14ac:dyDescent="0.25">
      <c r="C13" s="1059">
        <v>14.1</v>
      </c>
      <c r="D13" s="59" t="s">
        <v>57</v>
      </c>
      <c r="E13" s="32">
        <f>C13*100000</f>
        <v>1410000</v>
      </c>
      <c r="F13" s="1059">
        <v>213</v>
      </c>
      <c r="G13" s="59" t="s">
        <v>49</v>
      </c>
      <c r="H13" s="32">
        <f t="shared" ref="H13:H19" si="8">F13/100000</f>
        <v>2.1299999999999999E-3</v>
      </c>
      <c r="I13" s="1059">
        <f t="shared" si="0"/>
        <v>3.0032999999999999</v>
      </c>
      <c r="J13" s="1060">
        <f t="shared" si="1"/>
        <v>3003.2999999999997</v>
      </c>
      <c r="K13" s="1060">
        <f t="shared" si="2"/>
        <v>0.71729161690948162</v>
      </c>
      <c r="L13" s="889">
        <f t="shared" si="3"/>
        <v>8.3424999999999992E-4</v>
      </c>
      <c r="M13" s="1061">
        <v>3.0032999999999999</v>
      </c>
      <c r="N13" s="1062">
        <v>3003.3</v>
      </c>
      <c r="O13" s="1062">
        <v>0.71729200000000004</v>
      </c>
      <c r="P13" s="1078">
        <v>8.3425000000000003E-4</v>
      </c>
      <c r="Q13" s="897">
        <f t="shared" si="4"/>
        <v>0</v>
      </c>
      <c r="R13" s="1063">
        <f t="shared" si="5"/>
        <v>-1.5141589281339331E-16</v>
      </c>
      <c r="S13" s="898">
        <f t="shared" si="6"/>
        <v>-5.3407917977539489E-7</v>
      </c>
      <c r="T13" s="899">
        <f t="shared" si="7"/>
        <v>-1.2996130326466941E-16</v>
      </c>
      <c r="U13" s="6"/>
      <c r="V13" s="6"/>
      <c r="W13" s="6"/>
      <c r="X13" s="6"/>
      <c r="Y13" s="6"/>
      <c r="Z13" s="6"/>
      <c r="AA13" s="4"/>
      <c r="AB13" s="4"/>
      <c r="AC13" s="4"/>
      <c r="AD13" s="4"/>
      <c r="AE13" s="4"/>
      <c r="AF13" s="4"/>
      <c r="AG13" s="4"/>
      <c r="AH13" s="4"/>
      <c r="AI13" s="4"/>
      <c r="AJ13" s="6"/>
      <c r="AK13" s="6"/>
      <c r="AL13" s="6"/>
    </row>
    <row r="14" spans="3:38" x14ac:dyDescent="0.25">
      <c r="C14" s="1059">
        <v>6587</v>
      </c>
      <c r="D14" s="59" t="s">
        <v>58</v>
      </c>
      <c r="E14" s="32">
        <f>C14*1000</f>
        <v>6587000</v>
      </c>
      <c r="F14" s="1059">
        <v>616</v>
      </c>
      <c r="G14" s="59" t="s">
        <v>49</v>
      </c>
      <c r="H14" s="32">
        <f t="shared" si="8"/>
        <v>6.1599999999999997E-3</v>
      </c>
      <c r="I14" s="1059">
        <f t="shared" si="0"/>
        <v>40.575919999999996</v>
      </c>
      <c r="J14" s="1060">
        <f t="shared" si="1"/>
        <v>40575.919999999998</v>
      </c>
      <c r="K14" s="1060">
        <f t="shared" si="2"/>
        <v>9.6909290661571514</v>
      </c>
      <c r="L14" s="889">
        <f t="shared" si="3"/>
        <v>1.1271088888888888E-2</v>
      </c>
      <c r="M14" s="1061">
        <v>40.575899999999997</v>
      </c>
      <c r="N14" s="1062">
        <v>40575.9</v>
      </c>
      <c r="O14" s="1062">
        <v>9.6909299999999998</v>
      </c>
      <c r="P14" s="1061">
        <v>1.1271099999999999E-2</v>
      </c>
      <c r="Q14" s="897">
        <f t="shared" si="4"/>
        <v>4.9290317999549608E-7</v>
      </c>
      <c r="R14" s="1063">
        <f t="shared" si="5"/>
        <v>4.9290317993525669E-7</v>
      </c>
      <c r="S14" s="898">
        <f t="shared" si="6"/>
        <v>-9.6362571845058851E-8</v>
      </c>
      <c r="T14" s="899">
        <f t="shared" si="7"/>
        <v>-9.8580636002245796E-7</v>
      </c>
      <c r="U14" s="6"/>
      <c r="V14" s="6"/>
      <c r="W14" s="6"/>
      <c r="X14" s="6"/>
      <c r="Y14" s="6"/>
      <c r="Z14" s="6"/>
      <c r="AA14" s="4"/>
      <c r="AB14" s="4"/>
      <c r="AC14" s="4"/>
      <c r="AD14" s="4"/>
      <c r="AE14" s="4"/>
      <c r="AF14" s="4"/>
      <c r="AG14" s="4"/>
      <c r="AH14" s="4"/>
      <c r="AI14" s="4"/>
      <c r="AJ14" s="6"/>
      <c r="AK14" s="6"/>
      <c r="AL14" s="6"/>
    </row>
    <row r="15" spans="3:38" x14ac:dyDescent="0.25">
      <c r="C15" s="1059">
        <v>112</v>
      </c>
      <c r="D15" s="59" t="s">
        <v>59</v>
      </c>
      <c r="E15" s="32">
        <f>C15*9.80665</f>
        <v>1098.3447999999999</v>
      </c>
      <c r="F15" s="1059">
        <v>6</v>
      </c>
      <c r="G15" s="59" t="s">
        <v>49</v>
      </c>
      <c r="H15" s="32">
        <f t="shared" si="8"/>
        <v>6.0000000000000002E-5</v>
      </c>
      <c r="I15" s="1059">
        <f t="shared" si="0"/>
        <v>6.5900688000000005E-5</v>
      </c>
      <c r="J15" s="1060">
        <f t="shared" si="1"/>
        <v>6.5900687999999999E-2</v>
      </c>
      <c r="K15" s="1060">
        <f t="shared" si="2"/>
        <v>1.573935705755911E-5</v>
      </c>
      <c r="L15" s="889">
        <f t="shared" si="3"/>
        <v>1.8305746666666668E-8</v>
      </c>
      <c r="M15" s="1078">
        <v>6.5900688000000005E-5</v>
      </c>
      <c r="N15" s="1062">
        <v>6.5900700000000006E-2</v>
      </c>
      <c r="O15" s="1079">
        <v>1.57393570575591E-5</v>
      </c>
      <c r="P15" s="1078">
        <v>1.8305746666666701E-8</v>
      </c>
      <c r="Q15" s="897">
        <f t="shared" si="4"/>
        <v>0</v>
      </c>
      <c r="R15" s="1063">
        <f t="shared" si="5"/>
        <v>-1.8209218100365686E-7</v>
      </c>
      <c r="S15" s="898">
        <f t="shared" si="6"/>
        <v>6.4579482693481243E-16</v>
      </c>
      <c r="T15" s="899">
        <f t="shared" si="7"/>
        <v>-1.8074774607457205E-15</v>
      </c>
      <c r="U15" s="6"/>
      <c r="V15" s="6"/>
      <c r="W15" s="6"/>
      <c r="X15" s="6"/>
      <c r="Y15" s="6"/>
      <c r="Z15" s="6"/>
      <c r="AA15" s="4"/>
      <c r="AB15" s="4"/>
      <c r="AC15" s="4"/>
      <c r="AD15" s="4"/>
      <c r="AE15" s="4"/>
      <c r="AF15" s="4"/>
      <c r="AG15" s="4"/>
      <c r="AH15" s="4"/>
      <c r="AI15" s="4"/>
      <c r="AJ15" s="6"/>
      <c r="AK15" s="6"/>
      <c r="AL15" s="6"/>
    </row>
    <row r="16" spans="3:38" x14ac:dyDescent="0.25">
      <c r="C16" s="1059">
        <v>745</v>
      </c>
      <c r="D16" s="59" t="s">
        <v>67</v>
      </c>
      <c r="E16" s="32">
        <f>C16*1000000</f>
        <v>745000000</v>
      </c>
      <c r="F16" s="1059">
        <v>651</v>
      </c>
      <c r="G16" s="59" t="s">
        <v>49</v>
      </c>
      <c r="H16" s="32">
        <f t="shared" si="8"/>
        <v>6.5100000000000002E-3</v>
      </c>
      <c r="I16" s="1059">
        <f t="shared" si="0"/>
        <v>4849.95</v>
      </c>
      <c r="J16" s="1060">
        <f t="shared" si="1"/>
        <v>4849950</v>
      </c>
      <c r="K16" s="1060">
        <f t="shared" si="2"/>
        <v>1158.3353236207306</v>
      </c>
      <c r="L16" s="889">
        <f t="shared" si="3"/>
        <v>1.3472083333333333</v>
      </c>
      <c r="M16" s="1061">
        <v>4849.95</v>
      </c>
      <c r="N16" s="1062">
        <v>4849950</v>
      </c>
      <c r="O16" s="1062">
        <v>1158.3399999999999</v>
      </c>
      <c r="P16" s="1061">
        <v>1.34721</v>
      </c>
      <c r="Q16" s="897">
        <f t="shared" si="4"/>
        <v>0</v>
      </c>
      <c r="R16" s="1063">
        <f t="shared" si="5"/>
        <v>0</v>
      </c>
      <c r="S16" s="898">
        <f t="shared" si="6"/>
        <v>-4.0371550223430091E-6</v>
      </c>
      <c r="T16" s="899">
        <f t="shared" si="7"/>
        <v>-1.2371261559478566E-6</v>
      </c>
      <c r="U16" s="6"/>
      <c r="V16" s="6"/>
      <c r="W16" s="6"/>
      <c r="X16" s="6"/>
      <c r="Y16" s="6"/>
      <c r="Z16" s="6"/>
      <c r="AA16" s="4"/>
      <c r="AB16" s="4"/>
      <c r="AC16" s="4"/>
      <c r="AD16" s="4"/>
      <c r="AE16" s="4"/>
      <c r="AF16" s="4"/>
      <c r="AG16" s="4"/>
      <c r="AH16" s="4"/>
      <c r="AI16" s="4"/>
    </row>
    <row r="17" spans="3:35" x14ac:dyDescent="0.25">
      <c r="C17" s="1059">
        <v>96</v>
      </c>
      <c r="D17" s="59" t="s">
        <v>61</v>
      </c>
      <c r="E17" s="32">
        <f>C17</f>
        <v>96</v>
      </c>
      <c r="F17" s="1059">
        <v>516</v>
      </c>
      <c r="G17" s="59" t="s">
        <v>49</v>
      </c>
      <c r="H17" s="32">
        <f t="shared" si="8"/>
        <v>5.1599999999999997E-3</v>
      </c>
      <c r="I17" s="1059">
        <f t="shared" si="0"/>
        <v>4.9535999999999992E-4</v>
      </c>
      <c r="J17" s="1060">
        <f t="shared" si="1"/>
        <v>0.49535999999999997</v>
      </c>
      <c r="K17" s="1060">
        <f t="shared" si="2"/>
        <v>1.183090518270838E-4</v>
      </c>
      <c r="L17" s="889">
        <f t="shared" si="3"/>
        <v>1.3759999999999999E-7</v>
      </c>
      <c r="M17" s="1061">
        <v>4.9536000000000003E-4</v>
      </c>
      <c r="N17" s="1062">
        <v>0.49536000000000002</v>
      </c>
      <c r="O17" s="1062">
        <v>1.18309E-4</v>
      </c>
      <c r="P17" s="1078">
        <v>1.3759999999999999E-7</v>
      </c>
      <c r="Q17" s="897">
        <f t="shared" si="4"/>
        <v>-2.1887156259801045E-16</v>
      </c>
      <c r="R17" s="1063">
        <f t="shared" si="5"/>
        <v>-1.1206224005018135E-16</v>
      </c>
      <c r="S17" s="898">
        <f t="shared" si="6"/>
        <v>4.3806524524187689E-7</v>
      </c>
      <c r="T17" s="899">
        <f t="shared" si="7"/>
        <v>0</v>
      </c>
      <c r="U17" s="6"/>
      <c r="V17" s="6"/>
      <c r="W17" s="6"/>
      <c r="X17" s="6"/>
      <c r="Y17" s="6"/>
      <c r="Z17" s="6"/>
      <c r="AA17" s="4"/>
      <c r="AB17" s="4"/>
      <c r="AC17" s="4"/>
      <c r="AD17" s="4"/>
      <c r="AE17" s="4"/>
      <c r="AF17" s="4"/>
      <c r="AG17" s="4"/>
      <c r="AH17" s="4"/>
      <c r="AI17" s="4"/>
    </row>
    <row r="18" spans="3:35" x14ac:dyDescent="0.25">
      <c r="C18" s="1059">
        <v>78</v>
      </c>
      <c r="D18" s="59" t="s">
        <v>66</v>
      </c>
      <c r="E18" s="32">
        <f>C18/0.0001450377</f>
        <v>537791.20876847883</v>
      </c>
      <c r="F18" s="1059">
        <v>8541</v>
      </c>
      <c r="G18" s="59" t="s">
        <v>49</v>
      </c>
      <c r="H18" s="32">
        <f t="shared" si="8"/>
        <v>8.541E-2</v>
      </c>
      <c r="I18" s="1059">
        <f t="shared" si="0"/>
        <v>45.932747140915772</v>
      </c>
      <c r="J18" s="1060">
        <f t="shared" si="1"/>
        <v>45932.747140915773</v>
      </c>
      <c r="K18" s="1060">
        <f t="shared" si="2"/>
        <v>10.970324132055355</v>
      </c>
      <c r="L18" s="889">
        <f t="shared" si="3"/>
        <v>1.2759096428032159E-2</v>
      </c>
      <c r="M18" s="1061">
        <v>45.932699999999997</v>
      </c>
      <c r="N18" s="1062">
        <v>45932.7</v>
      </c>
      <c r="O18" s="1062">
        <v>10.9703</v>
      </c>
      <c r="P18" s="1061">
        <v>1.2759100000000001E-2</v>
      </c>
      <c r="Q18" s="897">
        <f t="shared" si="4"/>
        <v>1.0263029909963526E-6</v>
      </c>
      <c r="R18" s="1063">
        <f t="shared" si="5"/>
        <v>1.0263029910149158E-6</v>
      </c>
      <c r="S18" s="898">
        <f t="shared" si="6"/>
        <v>2.1997577340840239E-6</v>
      </c>
      <c r="T18" s="899">
        <f t="shared" si="7"/>
        <v>-2.7995460818473402E-7</v>
      </c>
      <c r="U18" s="6"/>
      <c r="V18" s="6"/>
      <c r="W18" s="6"/>
      <c r="X18" s="6"/>
      <c r="Y18" s="6"/>
      <c r="Z18" s="6"/>
      <c r="AA18" s="4"/>
      <c r="AB18" s="4"/>
      <c r="AC18" s="4"/>
      <c r="AD18" s="4"/>
      <c r="AE18" s="4"/>
      <c r="AF18" s="4"/>
      <c r="AG18" s="4"/>
      <c r="AH18" s="4"/>
      <c r="AI18" s="4"/>
    </row>
    <row r="19" spans="3:35" ht="15.75" thickBot="1" x14ac:dyDescent="0.3">
      <c r="C19" s="1064">
        <v>574</v>
      </c>
      <c r="D19" s="953" t="s">
        <v>63</v>
      </c>
      <c r="E19" s="1065">
        <f>C19/0.007500616</f>
        <v>76527.047911798174</v>
      </c>
      <c r="F19" s="1064">
        <v>325</v>
      </c>
      <c r="G19" s="953" t="s">
        <v>49</v>
      </c>
      <c r="H19" s="1065">
        <f t="shared" si="8"/>
        <v>3.2499999999999999E-3</v>
      </c>
      <c r="I19" s="1064">
        <f t="shared" si="0"/>
        <v>0.24871290571334403</v>
      </c>
      <c r="J19" s="1066">
        <f t="shared" si="1"/>
        <v>248.71290571334404</v>
      </c>
      <c r="K19" s="1066">
        <f t="shared" si="2"/>
        <v>5.9401219420430862E-2</v>
      </c>
      <c r="L19" s="954">
        <f t="shared" si="3"/>
        <v>6.9086918253706683E-5</v>
      </c>
      <c r="M19" s="1067">
        <v>0.24871299999999999</v>
      </c>
      <c r="N19" s="1068">
        <v>248.71299999999999</v>
      </c>
      <c r="O19" s="1068">
        <v>5.9401200000000001E-2</v>
      </c>
      <c r="P19" s="1080">
        <v>6.9086918253706697E-5</v>
      </c>
      <c r="Q19" s="911">
        <f t="shared" si="4"/>
        <v>-3.7909836517965944E-7</v>
      </c>
      <c r="R19" s="1069">
        <f t="shared" si="5"/>
        <v>-3.7909836516448231E-7</v>
      </c>
      <c r="S19" s="912">
        <f t="shared" si="6"/>
        <v>3.2693656881382294E-7</v>
      </c>
      <c r="T19" s="913">
        <f t="shared" si="7"/>
        <v>-1.9616632929406545E-16</v>
      </c>
      <c r="U19" s="6"/>
      <c r="V19" s="6"/>
      <c r="W19" s="6"/>
      <c r="X19" s="6"/>
      <c r="Y19" s="6"/>
      <c r="Z19" s="6"/>
      <c r="AA19" s="4"/>
      <c r="AB19" s="4"/>
      <c r="AC19" s="4"/>
      <c r="AD19" s="4"/>
      <c r="AE19" s="4"/>
      <c r="AF19" s="4"/>
      <c r="AG19" s="4"/>
      <c r="AH19" s="4"/>
      <c r="AI19" s="4"/>
    </row>
    <row r="20" spans="3:35" ht="15.75" thickTop="1" x14ac:dyDescent="0.25">
      <c r="C20" s="1431">
        <v>45</v>
      </c>
      <c r="D20" s="1333" t="s">
        <v>55</v>
      </c>
      <c r="E20" s="1334">
        <f>C20/0.00001019716</f>
        <v>4412993.4216978056</v>
      </c>
      <c r="F20" s="1431">
        <v>261</v>
      </c>
      <c r="G20" s="1333" t="s">
        <v>50</v>
      </c>
      <c r="H20" s="1334">
        <f>F20/10000</f>
        <v>2.6100000000000002E-2</v>
      </c>
      <c r="I20" s="1431">
        <f t="shared" si="0"/>
        <v>115.17912830631273</v>
      </c>
      <c r="J20" s="1442">
        <f t="shared" si="1"/>
        <v>115179.12830631273</v>
      </c>
      <c r="K20" s="1442">
        <f t="shared" si="2"/>
        <v>27.50874810277352</v>
      </c>
      <c r="L20" s="1370">
        <f t="shared" si="3"/>
        <v>3.1994202307309094E-2</v>
      </c>
      <c r="M20" s="1443">
        <v>115.179</v>
      </c>
      <c r="N20" s="1444">
        <v>115179</v>
      </c>
      <c r="O20" s="1444">
        <v>27.508700000000001</v>
      </c>
      <c r="P20" s="1443">
        <v>3.19942E-2</v>
      </c>
      <c r="Q20" s="1265">
        <f t="shared" si="4"/>
        <v>1.1139719028826826E-6</v>
      </c>
      <c r="R20" s="1445">
        <f t="shared" si="5"/>
        <v>1.1139719029014366E-6</v>
      </c>
      <c r="S20" s="1266">
        <f t="shared" si="6"/>
        <v>1.7486355009454814E-6</v>
      </c>
      <c r="T20" s="1267">
        <f t="shared" si="7"/>
        <v>7.2116475092057114E-8</v>
      </c>
      <c r="U20" s="6"/>
      <c r="V20" s="6"/>
      <c r="W20" s="6"/>
      <c r="X20" s="6"/>
      <c r="Y20" s="6"/>
      <c r="Z20" s="6"/>
      <c r="AA20" s="4"/>
      <c r="AB20" s="4"/>
      <c r="AC20" s="4"/>
      <c r="AD20" s="4"/>
      <c r="AE20" s="4"/>
      <c r="AF20" s="4"/>
      <c r="AG20" s="4"/>
      <c r="AH20" s="4"/>
      <c r="AI20" s="4"/>
    </row>
    <row r="21" spans="3:35" x14ac:dyDescent="0.25">
      <c r="C21" s="1435">
        <v>128</v>
      </c>
      <c r="D21" s="1269" t="s">
        <v>56</v>
      </c>
      <c r="E21" s="1254">
        <f>C21/0.000009869233</f>
        <v>12969599.562600253</v>
      </c>
      <c r="F21" s="1435">
        <v>156</v>
      </c>
      <c r="G21" s="1269" t="s">
        <v>50</v>
      </c>
      <c r="H21" s="1254">
        <f>F21/10000</f>
        <v>1.5599999999999999E-2</v>
      </c>
      <c r="I21" s="1435">
        <f t="shared" si="0"/>
        <v>202.32575317656395</v>
      </c>
      <c r="J21" s="1446">
        <f t="shared" si="1"/>
        <v>202325.75317656394</v>
      </c>
      <c r="K21" s="1446">
        <f t="shared" si="2"/>
        <v>48.322367608446129</v>
      </c>
      <c r="L21" s="1270">
        <f t="shared" si="3"/>
        <v>5.6201598104601097E-2</v>
      </c>
      <c r="M21" s="1447">
        <v>202.32599999999999</v>
      </c>
      <c r="N21" s="1448">
        <v>202326</v>
      </c>
      <c r="O21" s="1448">
        <v>48.322400000000002</v>
      </c>
      <c r="P21" s="1447">
        <v>5.6201599999999997E-2</v>
      </c>
      <c r="Q21" s="1277">
        <f t="shared" si="4"/>
        <v>-1.2199308895103726E-6</v>
      </c>
      <c r="R21" s="1449">
        <f t="shared" si="5"/>
        <v>-1.2199308895755528E-6</v>
      </c>
      <c r="S21" s="1278">
        <f t="shared" si="6"/>
        <v>-6.7032216085477682E-7</v>
      </c>
      <c r="T21" s="1279">
        <f t="shared" si="7"/>
        <v>-3.372500007568324E-8</v>
      </c>
      <c r="U21" s="6"/>
      <c r="V21" s="6"/>
      <c r="W21" s="6"/>
      <c r="X21" s="6"/>
      <c r="Y21" s="6"/>
      <c r="Z21" s="6"/>
      <c r="AA21" s="4"/>
      <c r="AB21" s="4"/>
      <c r="AC21" s="4"/>
      <c r="AD21" s="4"/>
      <c r="AE21" s="4"/>
      <c r="AF21" s="4"/>
      <c r="AG21" s="4"/>
      <c r="AH21" s="4"/>
      <c r="AI21" s="4"/>
    </row>
    <row r="22" spans="3:35" x14ac:dyDescent="0.25">
      <c r="C22" s="1435">
        <v>8756</v>
      </c>
      <c r="D22" s="1269" t="s">
        <v>57</v>
      </c>
      <c r="E22" s="1254">
        <f>C22*100000</f>
        <v>875600000</v>
      </c>
      <c r="F22" s="1435">
        <v>8949</v>
      </c>
      <c r="G22" s="1269" t="s">
        <v>50</v>
      </c>
      <c r="H22" s="1254">
        <f t="shared" ref="H22:H28" si="9">F22/10000</f>
        <v>0.89490000000000003</v>
      </c>
      <c r="I22" s="1435">
        <f t="shared" si="0"/>
        <v>783574.44</v>
      </c>
      <c r="J22" s="1446">
        <f t="shared" si="1"/>
        <v>783574440</v>
      </c>
      <c r="K22" s="1446">
        <f t="shared" si="2"/>
        <v>187144.59995223308</v>
      </c>
      <c r="L22" s="1270">
        <f t="shared" si="3"/>
        <v>217.65956666666665</v>
      </c>
      <c r="M22" s="1447">
        <v>783574</v>
      </c>
      <c r="N22" s="1448">
        <v>783574440</v>
      </c>
      <c r="O22" s="1448">
        <v>187145</v>
      </c>
      <c r="P22" s="1447">
        <v>217.66</v>
      </c>
      <c r="Q22" s="1277">
        <f t="shared" si="4"/>
        <v>5.6152929126187505E-7</v>
      </c>
      <c r="R22" s="1449">
        <f t="shared" si="5"/>
        <v>0</v>
      </c>
      <c r="S22" s="1278">
        <f t="shared" si="6"/>
        <v>-2.137639915979191E-6</v>
      </c>
      <c r="T22" s="1279">
        <f t="shared" si="7"/>
        <v>-1.990876578429213E-6</v>
      </c>
      <c r="U22" s="6"/>
      <c r="V22" s="6"/>
      <c r="W22" s="6"/>
      <c r="X22" s="6"/>
      <c r="Y22" s="6"/>
      <c r="Z22" s="6"/>
      <c r="AA22" s="4"/>
      <c r="AB22" s="4"/>
      <c r="AC22" s="4"/>
      <c r="AD22" s="4"/>
      <c r="AE22" s="4"/>
      <c r="AF22" s="4"/>
      <c r="AG22" s="4"/>
      <c r="AH22" s="4"/>
      <c r="AI22" s="4"/>
    </row>
    <row r="23" spans="3:35" x14ac:dyDescent="0.25">
      <c r="C23" s="1435">
        <v>12587</v>
      </c>
      <c r="D23" s="1269" t="s">
        <v>58</v>
      </c>
      <c r="E23" s="1254">
        <f>C23*1000</f>
        <v>12587000</v>
      </c>
      <c r="F23" s="1435">
        <v>65196</v>
      </c>
      <c r="G23" s="1269" t="s">
        <v>50</v>
      </c>
      <c r="H23" s="1254">
        <f t="shared" si="9"/>
        <v>6.5195999999999996</v>
      </c>
      <c r="I23" s="1435">
        <f t="shared" si="0"/>
        <v>82062.205199999982</v>
      </c>
      <c r="J23" s="1446">
        <f t="shared" si="1"/>
        <v>82062205.199999988</v>
      </c>
      <c r="K23" s="1446">
        <f t="shared" si="2"/>
        <v>19599.284738476232</v>
      </c>
      <c r="L23" s="1270">
        <f t="shared" si="3"/>
        <v>22.795056999999996</v>
      </c>
      <c r="M23" s="1447">
        <v>82062.2</v>
      </c>
      <c r="N23" s="1448">
        <v>82062205</v>
      </c>
      <c r="O23" s="1448">
        <v>19599.3</v>
      </c>
      <c r="P23" s="1447">
        <v>22.795100000000001</v>
      </c>
      <c r="Q23" s="1277">
        <f t="shared" si="4"/>
        <v>6.3366564088534551E-8</v>
      </c>
      <c r="R23" s="1449">
        <f t="shared" si="5"/>
        <v>2.4371754036055453E-9</v>
      </c>
      <c r="S23" s="1278">
        <f t="shared" si="6"/>
        <v>-7.7867758804424632E-7</v>
      </c>
      <c r="T23" s="1279">
        <f t="shared" si="7"/>
        <v>-1.8863738750520466E-6</v>
      </c>
      <c r="U23" s="6"/>
      <c r="V23" s="6"/>
      <c r="W23" s="6"/>
      <c r="X23" s="6"/>
      <c r="Y23" s="6"/>
      <c r="Z23" s="6"/>
      <c r="AA23" s="4"/>
      <c r="AB23" s="4"/>
      <c r="AC23" s="4"/>
      <c r="AD23" s="4"/>
      <c r="AE23" s="4"/>
      <c r="AF23" s="4"/>
      <c r="AG23" s="4"/>
      <c r="AH23" s="4"/>
      <c r="AI23" s="4"/>
    </row>
    <row r="24" spans="3:35" x14ac:dyDescent="0.25">
      <c r="C24" s="1435">
        <v>11147</v>
      </c>
      <c r="D24" s="1269" t="s">
        <v>59</v>
      </c>
      <c r="E24" s="1254">
        <f>C24*9.80665</f>
        <v>109314.72755</v>
      </c>
      <c r="F24" s="1435">
        <v>65</v>
      </c>
      <c r="G24" s="1269" t="s">
        <v>50</v>
      </c>
      <c r="H24" s="1254">
        <f t="shared" si="9"/>
        <v>6.4999999999999997E-3</v>
      </c>
      <c r="I24" s="1435">
        <f t="shared" si="0"/>
        <v>0.71054572907499991</v>
      </c>
      <c r="J24" s="1446">
        <f t="shared" si="1"/>
        <v>710.54572907499994</v>
      </c>
      <c r="K24" s="1446">
        <f t="shared" si="2"/>
        <v>0.16970282519106755</v>
      </c>
      <c r="L24" s="1270">
        <f t="shared" si="3"/>
        <v>1.9737381363194441E-4</v>
      </c>
      <c r="M24" s="1447">
        <v>0.71054600000000001</v>
      </c>
      <c r="N24" s="1448">
        <v>710.54600000000005</v>
      </c>
      <c r="O24" s="1448">
        <v>0.16970299999999999</v>
      </c>
      <c r="P24" s="1447">
        <v>1.97374E-4</v>
      </c>
      <c r="Q24" s="1277">
        <f t="shared" si="4"/>
        <v>-3.8129143419614505E-7</v>
      </c>
      <c r="R24" s="1449">
        <f t="shared" si="5"/>
        <v>-3.8129143420739497E-7</v>
      </c>
      <c r="S24" s="1278">
        <f t="shared" si="6"/>
        <v>-1.0300885223546984E-6</v>
      </c>
      <c r="T24" s="1279">
        <f t="shared" si="7"/>
        <v>-9.4423901611599414E-7</v>
      </c>
      <c r="U24" s="6"/>
      <c r="V24" s="6"/>
      <c r="W24" s="6"/>
      <c r="X24" s="6"/>
      <c r="Y24" s="6"/>
      <c r="Z24" s="6"/>
      <c r="AA24" s="4"/>
      <c r="AB24" s="4"/>
      <c r="AC24" s="4"/>
      <c r="AD24" s="4"/>
      <c r="AE24" s="4"/>
      <c r="AF24" s="4"/>
      <c r="AG24" s="4"/>
      <c r="AH24" s="4"/>
      <c r="AI24" s="4"/>
    </row>
    <row r="25" spans="3:35" x14ac:dyDescent="0.25">
      <c r="C25" s="1435">
        <v>79</v>
      </c>
      <c r="D25" s="1269" t="s">
        <v>67</v>
      </c>
      <c r="E25" s="1254">
        <f>C25*1000000</f>
        <v>79000000</v>
      </c>
      <c r="F25" s="1435">
        <v>2632</v>
      </c>
      <c r="G25" s="1269" t="s">
        <v>50</v>
      </c>
      <c r="H25" s="1254">
        <f t="shared" si="9"/>
        <v>0.26319999999999999</v>
      </c>
      <c r="I25" s="1435">
        <f t="shared" si="0"/>
        <v>20792.8</v>
      </c>
      <c r="J25" s="1446">
        <f t="shared" si="1"/>
        <v>20792800</v>
      </c>
      <c r="K25" s="1446">
        <f t="shared" si="2"/>
        <v>4966.0377358490559</v>
      </c>
      <c r="L25" s="1270">
        <f t="shared" si="3"/>
        <v>5.7757777777777779</v>
      </c>
      <c r="M25" s="1447">
        <v>20792.8</v>
      </c>
      <c r="N25" s="1448">
        <v>20792800</v>
      </c>
      <c r="O25" s="1448">
        <v>4966.04</v>
      </c>
      <c r="P25" s="1447">
        <v>5.7757800000000001</v>
      </c>
      <c r="Q25" s="1277">
        <f t="shared" si="4"/>
        <v>0</v>
      </c>
      <c r="R25" s="1449">
        <f t="shared" si="5"/>
        <v>0</v>
      </c>
      <c r="S25" s="1278">
        <f t="shared" si="6"/>
        <v>-4.5592705179917244E-7</v>
      </c>
      <c r="T25" s="1279">
        <f t="shared" si="7"/>
        <v>-3.8474856681410919E-7</v>
      </c>
      <c r="U25" s="6"/>
      <c r="V25" s="6"/>
      <c r="W25" s="6"/>
      <c r="X25" s="6"/>
      <c r="Y25" s="6"/>
      <c r="Z25" s="6"/>
      <c r="AA25" s="4"/>
      <c r="AB25" s="4"/>
      <c r="AC25" s="4"/>
      <c r="AD25" s="4"/>
      <c r="AE25" s="4"/>
      <c r="AF25" s="4"/>
      <c r="AG25" s="4"/>
      <c r="AH25" s="4"/>
      <c r="AI25" s="4"/>
    </row>
    <row r="26" spans="3:35" x14ac:dyDescent="0.25">
      <c r="C26" s="1435">
        <v>321</v>
      </c>
      <c r="D26" s="1269" t="s">
        <v>61</v>
      </c>
      <c r="E26" s="1254">
        <f>C26</f>
        <v>321</v>
      </c>
      <c r="F26" s="1435">
        <v>189</v>
      </c>
      <c r="G26" s="1269" t="s">
        <v>50</v>
      </c>
      <c r="H26" s="1254">
        <f t="shared" si="9"/>
        <v>1.89E-2</v>
      </c>
      <c r="I26" s="1435">
        <f t="shared" si="0"/>
        <v>6.0669000000000001E-3</v>
      </c>
      <c r="J26" s="1446">
        <f t="shared" si="1"/>
        <v>6.0669000000000004</v>
      </c>
      <c r="K26" s="1446">
        <f t="shared" si="2"/>
        <v>1.4489849534272748E-3</v>
      </c>
      <c r="L26" s="1270">
        <f t="shared" si="3"/>
        <v>1.6852500000000001E-6</v>
      </c>
      <c r="M26" s="1447">
        <v>6.0669000000000001E-3</v>
      </c>
      <c r="N26" s="1448">
        <v>6.0669000000000004</v>
      </c>
      <c r="O26" s="1448">
        <v>1.4489800000000001E-3</v>
      </c>
      <c r="P26" s="1450">
        <v>1.6852500000000001E-6</v>
      </c>
      <c r="Q26" s="1277">
        <f t="shared" si="4"/>
        <v>0</v>
      </c>
      <c r="R26" s="1449">
        <f t="shared" si="5"/>
        <v>0</v>
      </c>
      <c r="S26" s="1278">
        <f t="shared" si="6"/>
        <v>3.4185498358537101E-6</v>
      </c>
      <c r="T26" s="1279">
        <f t="shared" si="7"/>
        <v>0</v>
      </c>
      <c r="U26" s="6"/>
      <c r="V26" s="6"/>
      <c r="W26" s="6"/>
      <c r="X26" s="6"/>
      <c r="Y26" s="6"/>
      <c r="Z26" s="6"/>
      <c r="AA26" s="4"/>
      <c r="AB26" s="4"/>
      <c r="AC26" s="4"/>
      <c r="AD26" s="4"/>
      <c r="AE26" s="4"/>
      <c r="AF26" s="4"/>
      <c r="AG26" s="4"/>
      <c r="AH26" s="4"/>
      <c r="AI26" s="4"/>
    </row>
    <row r="27" spans="3:35" x14ac:dyDescent="0.25">
      <c r="C27" s="1435">
        <v>258</v>
      </c>
      <c r="D27" s="1269" t="s">
        <v>66</v>
      </c>
      <c r="E27" s="1254">
        <f>C27/0.0001450377</f>
        <v>1778847.8443880451</v>
      </c>
      <c r="F27" s="1435">
        <v>152</v>
      </c>
      <c r="G27" s="1269" t="s">
        <v>50</v>
      </c>
      <c r="H27" s="1254">
        <f t="shared" si="9"/>
        <v>1.52E-2</v>
      </c>
      <c r="I27" s="1435">
        <f t="shared" si="0"/>
        <v>27.038487234698284</v>
      </c>
      <c r="J27" s="1446">
        <f t="shared" si="1"/>
        <v>27038.487234698285</v>
      </c>
      <c r="K27" s="1446">
        <f t="shared" si="2"/>
        <v>6.4577232468827992</v>
      </c>
      <c r="L27" s="1270">
        <f t="shared" si="3"/>
        <v>7.5106908985273007E-3</v>
      </c>
      <c r="M27" s="1447">
        <v>27.038499999999999</v>
      </c>
      <c r="N27" s="1448">
        <v>27038.5</v>
      </c>
      <c r="O27" s="1448">
        <v>6.4577200000000001</v>
      </c>
      <c r="P27" s="1447">
        <v>7.5106900000000004E-3</v>
      </c>
      <c r="Q27" s="1277">
        <f t="shared" si="4"/>
        <v>-4.7211597322103253E-7</v>
      </c>
      <c r="R27" s="1449">
        <f t="shared" si="5"/>
        <v>-4.721159732220837E-7</v>
      </c>
      <c r="S27" s="1278">
        <f t="shared" si="6"/>
        <v>5.0279063919867931E-7</v>
      </c>
      <c r="T27" s="1279">
        <f t="shared" si="7"/>
        <v>1.1963310865088928E-7</v>
      </c>
      <c r="U27" s="6"/>
      <c r="V27" s="6"/>
      <c r="W27" s="6"/>
      <c r="X27" s="6"/>
      <c r="Y27" s="6"/>
      <c r="Z27" s="6"/>
      <c r="AA27" s="4"/>
      <c r="AB27" s="4"/>
      <c r="AC27" s="4"/>
      <c r="AD27" s="4"/>
      <c r="AE27" s="4"/>
      <c r="AF27" s="4"/>
      <c r="AG27" s="4"/>
      <c r="AH27" s="4"/>
      <c r="AI27" s="4"/>
    </row>
    <row r="28" spans="3:35" ht="15.75" thickBot="1" x14ac:dyDescent="0.3">
      <c r="C28" s="1440">
        <v>2358</v>
      </c>
      <c r="D28" s="1348" t="s">
        <v>63</v>
      </c>
      <c r="E28" s="1351">
        <f>C28/0.007500616</f>
        <v>314374.17940073187</v>
      </c>
      <c r="F28" s="1440">
        <v>231</v>
      </c>
      <c r="G28" s="1348" t="s">
        <v>50</v>
      </c>
      <c r="H28" s="1351">
        <f t="shared" si="9"/>
        <v>2.3099999999999999E-2</v>
      </c>
      <c r="I28" s="1440">
        <f t="shared" si="0"/>
        <v>7.2620435441569064</v>
      </c>
      <c r="J28" s="1451">
        <f t="shared" si="1"/>
        <v>7262.0435441569061</v>
      </c>
      <c r="K28" s="1451">
        <f t="shared" si="2"/>
        <v>1.7344264495239805</v>
      </c>
      <c r="L28" s="1375">
        <f t="shared" si="3"/>
        <v>2.0172343178213631E-3</v>
      </c>
      <c r="M28" s="1452">
        <v>7.2620399999999998</v>
      </c>
      <c r="N28" s="1453">
        <v>7262.04</v>
      </c>
      <c r="O28" s="1453">
        <v>1.7344299999999999</v>
      </c>
      <c r="P28" s="1452">
        <v>2.0172300000000001E-3</v>
      </c>
      <c r="Q28" s="1296">
        <f t="shared" si="4"/>
        <v>4.8803850941825509E-7</v>
      </c>
      <c r="R28" s="1454">
        <f t="shared" si="5"/>
        <v>4.8803850935661375E-7</v>
      </c>
      <c r="S28" s="1297">
        <f t="shared" si="6"/>
        <v>-2.047060583274562E-6</v>
      </c>
      <c r="T28" s="1298">
        <f t="shared" si="7"/>
        <v>2.1404659463178229E-6</v>
      </c>
      <c r="U28" s="6"/>
      <c r="V28" s="6"/>
      <c r="W28" s="6"/>
      <c r="X28" s="6"/>
      <c r="Y28" s="6"/>
      <c r="Z28" s="6"/>
      <c r="AA28" s="4"/>
      <c r="AB28" s="4"/>
      <c r="AC28" s="4"/>
      <c r="AD28" s="4"/>
      <c r="AE28" s="4"/>
      <c r="AF28" s="4"/>
      <c r="AG28" s="4"/>
      <c r="AH28" s="4"/>
      <c r="AI28" s="4"/>
    </row>
    <row r="29" spans="3:35" ht="15.75" thickTop="1" x14ac:dyDescent="0.25">
      <c r="C29" s="313">
        <v>12</v>
      </c>
      <c r="D29" s="61" t="s">
        <v>55</v>
      </c>
      <c r="E29" s="45">
        <f>C29/0.00001019716</f>
        <v>1176798.2457860815</v>
      </c>
      <c r="F29" s="313">
        <v>84</v>
      </c>
      <c r="G29" s="61" t="s">
        <v>51</v>
      </c>
      <c r="H29" s="45">
        <f>F29/10</f>
        <v>8.4</v>
      </c>
      <c r="I29" s="313">
        <f t="shared" si="0"/>
        <v>9885.1052646030857</v>
      </c>
      <c r="J29" s="314">
        <f t="shared" si="1"/>
        <v>9885105.2646030858</v>
      </c>
      <c r="K29" s="314">
        <f t="shared" si="2"/>
        <v>2360.9040517322869</v>
      </c>
      <c r="L29" s="48">
        <f t="shared" si="3"/>
        <v>2.7458625735008573</v>
      </c>
      <c r="M29" s="644">
        <v>9885.11</v>
      </c>
      <c r="N29" s="645">
        <v>9885105</v>
      </c>
      <c r="O29" s="645">
        <v>2360.9</v>
      </c>
      <c r="P29" s="644">
        <v>2.74586</v>
      </c>
      <c r="Q29" s="190">
        <f t="shared" si="4"/>
        <v>-4.7904365083451331E-7</v>
      </c>
      <c r="R29" s="659">
        <f t="shared" si="5"/>
        <v>2.6767857168239377E-8</v>
      </c>
      <c r="S29" s="191">
        <f t="shared" si="6"/>
        <v>1.7161782935873711E-6</v>
      </c>
      <c r="T29" s="192">
        <f t="shared" si="7"/>
        <v>9.372285715030104E-7</v>
      </c>
      <c r="U29" s="6"/>
      <c r="V29" s="6"/>
      <c r="W29" s="6"/>
      <c r="X29" s="6"/>
      <c r="Y29" s="6"/>
      <c r="Z29" s="6"/>
      <c r="AA29" s="4"/>
      <c r="AB29" s="4"/>
      <c r="AC29" s="4"/>
      <c r="AD29" s="4"/>
      <c r="AE29" s="4"/>
      <c r="AF29" s="4"/>
      <c r="AG29" s="4"/>
      <c r="AH29" s="4"/>
      <c r="AI29" s="4"/>
    </row>
    <row r="30" spans="3:35" x14ac:dyDescent="0.25">
      <c r="C30" s="310">
        <v>547</v>
      </c>
      <c r="D30" s="62" t="s">
        <v>56</v>
      </c>
      <c r="E30" s="34">
        <f>C30/0.000009869233</f>
        <v>55424773.130799524</v>
      </c>
      <c r="F30" s="310">
        <v>798</v>
      </c>
      <c r="G30" s="62" t="s">
        <v>51</v>
      </c>
      <c r="H30" s="34">
        <f>F30/10</f>
        <v>79.8</v>
      </c>
      <c r="I30" s="310">
        <f t="shared" si="0"/>
        <v>4422896.8958378015</v>
      </c>
      <c r="J30" s="117">
        <f t="shared" si="1"/>
        <v>4422896895.8378019</v>
      </c>
      <c r="K30" s="117">
        <f t="shared" si="2"/>
        <v>1056340.3142674472</v>
      </c>
      <c r="L30" s="35">
        <f t="shared" si="3"/>
        <v>1228.5824710660561</v>
      </c>
      <c r="M30" s="629">
        <v>4422897</v>
      </c>
      <c r="N30" s="630">
        <v>4422896896</v>
      </c>
      <c r="O30" s="630">
        <v>1056340</v>
      </c>
      <c r="P30" s="629">
        <v>1228.58</v>
      </c>
      <c r="Q30" s="155">
        <f t="shared" si="4"/>
        <v>-2.3550672996564105E-8</v>
      </c>
      <c r="R30" s="660">
        <f t="shared" si="5"/>
        <v>-3.6672359887942088E-11</v>
      </c>
      <c r="S30" s="156">
        <f t="shared" si="6"/>
        <v>2.9750587284575772E-7</v>
      </c>
      <c r="T30" s="157">
        <f t="shared" si="7"/>
        <v>2.0113147585569645E-6</v>
      </c>
      <c r="U30" s="6"/>
      <c r="V30" s="6"/>
      <c r="W30" s="6"/>
      <c r="X30" s="6"/>
      <c r="Y30" s="6"/>
      <c r="Z30" s="6"/>
      <c r="AA30" s="4"/>
      <c r="AB30" s="4"/>
      <c r="AC30" s="4"/>
      <c r="AD30" s="4"/>
      <c r="AE30" s="4"/>
      <c r="AF30" s="4"/>
      <c r="AG30" s="4"/>
      <c r="AH30" s="4"/>
      <c r="AI30" s="4"/>
    </row>
    <row r="31" spans="3:35" x14ac:dyDescent="0.25">
      <c r="C31" s="310">
        <v>7874</v>
      </c>
      <c r="D31" s="62" t="s">
        <v>57</v>
      </c>
      <c r="E31" s="34">
        <f>C31*100000</f>
        <v>787400000</v>
      </c>
      <c r="F31" s="310">
        <v>778</v>
      </c>
      <c r="G31" s="62" t="s">
        <v>51</v>
      </c>
      <c r="H31" s="34">
        <f t="shared" ref="H31:H37" si="10">F31/10</f>
        <v>77.8</v>
      </c>
      <c r="I31" s="310">
        <f t="shared" si="0"/>
        <v>61259720</v>
      </c>
      <c r="J31" s="117">
        <f t="shared" si="1"/>
        <v>61259720000</v>
      </c>
      <c r="K31" s="117">
        <f t="shared" si="2"/>
        <v>14630933.842846906</v>
      </c>
      <c r="L31" s="35">
        <f t="shared" si="3"/>
        <v>17016.588888888888</v>
      </c>
      <c r="M31" s="629">
        <v>61259720</v>
      </c>
      <c r="N31" s="630">
        <v>61259720000</v>
      </c>
      <c r="O31" s="630">
        <v>14630934</v>
      </c>
      <c r="P31" s="629">
        <v>17016.599999999999</v>
      </c>
      <c r="Q31" s="155">
        <f t="shared" si="4"/>
        <v>0</v>
      </c>
      <c r="R31" s="660">
        <f t="shared" si="5"/>
        <v>0</v>
      </c>
      <c r="S31" s="156">
        <f t="shared" si="6"/>
        <v>-1.0741152675241666E-8</v>
      </c>
      <c r="T31" s="157">
        <f t="shared" si="7"/>
        <v>-6.5295760410622067E-7</v>
      </c>
      <c r="U31" s="6"/>
      <c r="V31" s="6"/>
      <c r="W31" s="6"/>
      <c r="X31" s="6"/>
      <c r="Y31" s="6"/>
      <c r="Z31" s="6"/>
      <c r="AA31" s="4"/>
      <c r="AB31" s="4"/>
      <c r="AC31" s="4"/>
      <c r="AD31" s="4"/>
      <c r="AE31" s="4"/>
      <c r="AF31" s="4"/>
      <c r="AG31" s="4"/>
      <c r="AH31" s="4"/>
      <c r="AI31" s="4"/>
    </row>
    <row r="32" spans="3:35" x14ac:dyDescent="0.25">
      <c r="C32" s="310">
        <v>1125</v>
      </c>
      <c r="D32" s="62" t="s">
        <v>58</v>
      </c>
      <c r="E32" s="34">
        <f>C32*1000</f>
        <v>1125000</v>
      </c>
      <c r="F32" s="310">
        <v>545</v>
      </c>
      <c r="G32" s="62" t="s">
        <v>51</v>
      </c>
      <c r="H32" s="34">
        <f t="shared" si="10"/>
        <v>54.5</v>
      </c>
      <c r="I32" s="310">
        <f t="shared" si="0"/>
        <v>61312.5</v>
      </c>
      <c r="J32" s="117">
        <f t="shared" si="1"/>
        <v>61312500</v>
      </c>
      <c r="K32" s="117">
        <f t="shared" si="2"/>
        <v>14643.539527107714</v>
      </c>
      <c r="L32" s="35">
        <f t="shared" si="3"/>
        <v>17.03125</v>
      </c>
      <c r="M32" s="629">
        <v>61312.5</v>
      </c>
      <c r="N32" s="630">
        <v>61312500</v>
      </c>
      <c r="O32" s="630">
        <v>14643.5</v>
      </c>
      <c r="P32" s="629">
        <v>17.031199999999998</v>
      </c>
      <c r="Q32" s="155">
        <f t="shared" si="4"/>
        <v>0</v>
      </c>
      <c r="R32" s="660">
        <f t="shared" si="5"/>
        <v>0</v>
      </c>
      <c r="S32" s="156">
        <f t="shared" si="6"/>
        <v>2.6992864423879079E-6</v>
      </c>
      <c r="T32" s="157">
        <f t="shared" si="7"/>
        <v>2.9357798166112194E-6</v>
      </c>
      <c r="U32" s="6"/>
      <c r="V32" s="6"/>
      <c r="W32" s="6"/>
      <c r="X32" s="6"/>
      <c r="Y32" s="6"/>
      <c r="Z32" s="6"/>
      <c r="AA32" s="4"/>
      <c r="AB32" s="4"/>
      <c r="AC32" s="4"/>
      <c r="AD32" s="4"/>
      <c r="AE32" s="4"/>
      <c r="AF32" s="4"/>
      <c r="AG32" s="4"/>
      <c r="AH32" s="4"/>
      <c r="AI32" s="4"/>
    </row>
    <row r="33" spans="3:35" x14ac:dyDescent="0.25">
      <c r="C33" s="310">
        <v>2457</v>
      </c>
      <c r="D33" s="62" t="s">
        <v>59</v>
      </c>
      <c r="E33" s="34">
        <f>C33*9.80665</f>
        <v>24094.939049999997</v>
      </c>
      <c r="F33" s="310">
        <v>332</v>
      </c>
      <c r="G33" s="62" t="s">
        <v>51</v>
      </c>
      <c r="H33" s="34">
        <f t="shared" si="10"/>
        <v>33.200000000000003</v>
      </c>
      <c r="I33" s="310">
        <f t="shared" si="0"/>
        <v>799.95197646000008</v>
      </c>
      <c r="J33" s="117">
        <f t="shared" si="1"/>
        <v>799951.97646000003</v>
      </c>
      <c r="K33" s="117">
        <f t="shared" si="2"/>
        <v>191.05612048244566</v>
      </c>
      <c r="L33" s="35">
        <f t="shared" si="3"/>
        <v>0.22220888235000003</v>
      </c>
      <c r="M33" s="629">
        <v>799.952</v>
      </c>
      <c r="N33" s="630">
        <v>799952</v>
      </c>
      <c r="O33" s="630">
        <v>191.05600000000001</v>
      </c>
      <c r="P33" s="629">
        <v>0.22220899999999999</v>
      </c>
      <c r="Q33" s="155">
        <f t="shared" si="4"/>
        <v>-2.9426766366309712E-8</v>
      </c>
      <c r="R33" s="660">
        <f t="shared" si="5"/>
        <v>-2.9426766428841228E-8</v>
      </c>
      <c r="S33" s="156">
        <f t="shared" si="6"/>
        <v>6.3061285525937736E-7</v>
      </c>
      <c r="T33" s="157">
        <f t="shared" si="7"/>
        <v>-5.2945678282622453E-7</v>
      </c>
      <c r="U33" s="6"/>
      <c r="V33" s="6"/>
      <c r="W33" s="6"/>
      <c r="X33" s="6"/>
      <c r="Y33" s="6"/>
      <c r="Z33" s="6"/>
      <c r="AA33" s="4"/>
      <c r="AB33" s="4"/>
      <c r="AC33" s="4"/>
      <c r="AD33" s="4"/>
      <c r="AE33" s="4"/>
      <c r="AF33" s="4"/>
      <c r="AG33" s="4"/>
      <c r="AH33" s="4"/>
      <c r="AI33" s="4"/>
    </row>
    <row r="34" spans="3:35" x14ac:dyDescent="0.25">
      <c r="C34" s="310">
        <v>8596</v>
      </c>
      <c r="D34" s="62" t="s">
        <v>67</v>
      </c>
      <c r="E34" s="34">
        <f>C34*1000000</f>
        <v>8596000000</v>
      </c>
      <c r="F34" s="310">
        <v>12</v>
      </c>
      <c r="G34" s="62" t="s">
        <v>51</v>
      </c>
      <c r="H34" s="34">
        <f t="shared" si="10"/>
        <v>1.2</v>
      </c>
      <c r="I34" s="310">
        <f t="shared" si="0"/>
        <v>10315200</v>
      </c>
      <c r="J34" s="117">
        <f t="shared" si="1"/>
        <v>10315200000</v>
      </c>
      <c r="K34" s="117">
        <f t="shared" si="2"/>
        <v>2463625.5075232862</v>
      </c>
      <c r="L34" s="35">
        <f t="shared" si="3"/>
        <v>2865.3333333333335</v>
      </c>
      <c r="M34" s="629">
        <v>10315200</v>
      </c>
      <c r="N34" s="630">
        <v>10315200000</v>
      </c>
      <c r="O34" s="630">
        <v>2463626</v>
      </c>
      <c r="P34" s="629">
        <v>2865.33</v>
      </c>
      <c r="Q34" s="155">
        <f t="shared" si="4"/>
        <v>0</v>
      </c>
      <c r="R34" s="660">
        <f t="shared" si="5"/>
        <v>0</v>
      </c>
      <c r="S34" s="156">
        <f t="shared" si="6"/>
        <v>-1.9989917799590276E-7</v>
      </c>
      <c r="T34" s="157">
        <f t="shared" si="7"/>
        <v>1.1633317823025856E-6</v>
      </c>
      <c r="U34" s="6"/>
      <c r="V34" s="6"/>
      <c r="W34" s="6"/>
      <c r="X34" s="6"/>
      <c r="Y34" s="6"/>
      <c r="Z34" s="6"/>
      <c r="AA34" s="4"/>
      <c r="AB34" s="4"/>
      <c r="AC34" s="4"/>
      <c r="AD34" s="4"/>
      <c r="AE34" s="4"/>
      <c r="AF34" s="4"/>
      <c r="AG34" s="4"/>
      <c r="AH34" s="4"/>
      <c r="AI34" s="4"/>
    </row>
    <row r="35" spans="3:35" x14ac:dyDescent="0.25">
      <c r="C35" s="310">
        <v>457</v>
      </c>
      <c r="D35" s="62" t="s">
        <v>61</v>
      </c>
      <c r="E35" s="34">
        <f>C35</f>
        <v>457</v>
      </c>
      <c r="F35" s="310">
        <v>94</v>
      </c>
      <c r="G35" s="62" t="s">
        <v>51</v>
      </c>
      <c r="H35" s="34">
        <f t="shared" si="10"/>
        <v>9.4</v>
      </c>
      <c r="I35" s="310">
        <f t="shared" si="0"/>
        <v>4.2957999999999998</v>
      </c>
      <c r="J35" s="117">
        <f t="shared" si="1"/>
        <v>4295.8</v>
      </c>
      <c r="K35" s="117">
        <f t="shared" si="2"/>
        <v>1.0259851922617624</v>
      </c>
      <c r="L35" s="35">
        <f t="shared" si="3"/>
        <v>1.1932777777777777E-3</v>
      </c>
      <c r="M35" s="629">
        <v>4.2957999999999998</v>
      </c>
      <c r="N35" s="630">
        <v>4295.8</v>
      </c>
      <c r="O35" s="630">
        <v>1.02599</v>
      </c>
      <c r="P35" s="629">
        <v>1.1932799999999999E-3</v>
      </c>
      <c r="Q35" s="155">
        <f t="shared" si="4"/>
        <v>0</v>
      </c>
      <c r="R35" s="660">
        <f t="shared" si="5"/>
        <v>0</v>
      </c>
      <c r="S35" s="156">
        <f t="shared" si="6"/>
        <v>-4.6859723451989338E-6</v>
      </c>
      <c r="T35" s="157">
        <f t="shared" si="7"/>
        <v>-1.8622840914270892E-6</v>
      </c>
    </row>
    <row r="36" spans="3:35" x14ac:dyDescent="0.25">
      <c r="C36" s="310">
        <v>68</v>
      </c>
      <c r="D36" s="62" t="s">
        <v>66</v>
      </c>
      <c r="E36" s="34">
        <f>C36/0.0001450377</f>
        <v>468843.6179007251</v>
      </c>
      <c r="F36" s="310">
        <v>84</v>
      </c>
      <c r="G36" s="62" t="s">
        <v>51</v>
      </c>
      <c r="H36" s="34">
        <f t="shared" si="10"/>
        <v>8.4</v>
      </c>
      <c r="I36" s="310">
        <f t="shared" si="0"/>
        <v>3938.2863903660909</v>
      </c>
      <c r="J36" s="117">
        <f t="shared" si="1"/>
        <v>3938286.3903660909</v>
      </c>
      <c r="K36" s="117">
        <f t="shared" si="2"/>
        <v>940.59861245906154</v>
      </c>
      <c r="L36" s="35">
        <f t="shared" si="3"/>
        <v>1.0939684417683586</v>
      </c>
      <c r="M36" s="629">
        <v>3938.29</v>
      </c>
      <c r="N36" s="630">
        <v>3938286</v>
      </c>
      <c r="O36" s="630">
        <v>940.59900000000005</v>
      </c>
      <c r="P36" s="629">
        <v>1.0939700000000001</v>
      </c>
      <c r="Q36" s="155">
        <f t="shared" si="4"/>
        <v>-9.1654936976302705E-7</v>
      </c>
      <c r="R36" s="660">
        <f t="shared" si="5"/>
        <v>9.9120798294962442E-8</v>
      </c>
      <c r="S36" s="156">
        <f t="shared" si="6"/>
        <v>-4.1201521389809475E-7</v>
      </c>
      <c r="T36" s="157">
        <f t="shared" si="7"/>
        <v>-1.4243844538856664E-6</v>
      </c>
    </row>
    <row r="37" spans="3:35" ht="15.75" thickBot="1" x14ac:dyDescent="0.3">
      <c r="C37" s="316">
        <v>7</v>
      </c>
      <c r="D37" s="290" t="s">
        <v>63</v>
      </c>
      <c r="E37" s="294">
        <f>C37/0.007500616</f>
        <v>933.2566818511973</v>
      </c>
      <c r="F37" s="316">
        <v>515</v>
      </c>
      <c r="G37" s="290" t="s">
        <v>51</v>
      </c>
      <c r="H37" s="294">
        <f t="shared" si="10"/>
        <v>51.5</v>
      </c>
      <c r="I37" s="316">
        <f t="shared" si="0"/>
        <v>48.062719115336655</v>
      </c>
      <c r="J37" s="317">
        <f t="shared" si="1"/>
        <v>48062.719115336658</v>
      </c>
      <c r="K37" s="317">
        <f t="shared" si="2"/>
        <v>11.479034897381574</v>
      </c>
      <c r="L37" s="291">
        <f t="shared" si="3"/>
        <v>1.3350755309815738E-2</v>
      </c>
      <c r="M37" s="642">
        <v>48.0627</v>
      </c>
      <c r="N37" s="643">
        <v>48062.7</v>
      </c>
      <c r="O37" s="643">
        <v>11.478999999999999</v>
      </c>
      <c r="P37" s="642">
        <v>1.3350799999999999E-2</v>
      </c>
      <c r="Q37" s="162">
        <f t="shared" si="4"/>
        <v>3.9771650475915679E-7</v>
      </c>
      <c r="R37" s="661">
        <f t="shared" si="5"/>
        <v>3.9771650487506065E-7</v>
      </c>
      <c r="S37" s="163">
        <f t="shared" si="6"/>
        <v>3.0400971759964537E-6</v>
      </c>
      <c r="T37" s="164">
        <f t="shared" si="7"/>
        <v>-3.3473899584323325E-6</v>
      </c>
    </row>
    <row r="38" spans="3:35" ht="15.75" thickTop="1" x14ac:dyDescent="0.25">
      <c r="C38" s="420">
        <v>96</v>
      </c>
      <c r="D38" s="383" t="s">
        <v>55</v>
      </c>
      <c r="E38" s="384">
        <f>C38/0.00001019716</f>
        <v>9414385.9662886523</v>
      </c>
      <c r="F38" s="420">
        <v>959</v>
      </c>
      <c r="G38" s="383" t="s">
        <v>52</v>
      </c>
      <c r="H38" s="384">
        <f>F38/1000</f>
        <v>0.95899999999999996</v>
      </c>
      <c r="I38" s="420">
        <f t="shared" si="0"/>
        <v>9028.3961416708171</v>
      </c>
      <c r="J38" s="421">
        <f t="shared" si="1"/>
        <v>9028396.1416708175</v>
      </c>
      <c r="K38" s="421">
        <f t="shared" si="2"/>
        <v>2156.2923672488218</v>
      </c>
      <c r="L38" s="390">
        <f t="shared" si="3"/>
        <v>2.5078878171307823</v>
      </c>
      <c r="M38" s="649">
        <v>9028.4</v>
      </c>
      <c r="N38" s="650">
        <v>9028396</v>
      </c>
      <c r="O38" s="650">
        <v>2156.29</v>
      </c>
      <c r="P38" s="649">
        <v>2.5078900000000002</v>
      </c>
      <c r="Q38" s="210">
        <f t="shared" si="4"/>
        <v>-4.2735488363660593E-7</v>
      </c>
      <c r="R38" s="662">
        <f t="shared" si="5"/>
        <v>1.5691692664592761E-8</v>
      </c>
      <c r="S38" s="211">
        <f t="shared" si="6"/>
        <v>1.0978329552331921E-6</v>
      </c>
      <c r="T38" s="212">
        <f t="shared" si="7"/>
        <v>-8.7040146011133704E-7</v>
      </c>
      <c r="U38" s="6"/>
      <c r="V38" s="6"/>
      <c r="W38" s="6"/>
      <c r="X38" s="6"/>
      <c r="Y38" s="6"/>
      <c r="Z38" s="6"/>
      <c r="AA38" s="4"/>
      <c r="AB38" s="4"/>
      <c r="AC38" s="4"/>
      <c r="AD38" s="4"/>
      <c r="AE38" s="4"/>
      <c r="AF38" s="4"/>
      <c r="AG38" s="4"/>
      <c r="AH38" s="4"/>
      <c r="AI38" s="4"/>
    </row>
    <row r="39" spans="3:35" x14ac:dyDescent="0.25">
      <c r="C39" s="412">
        <v>574</v>
      </c>
      <c r="D39" s="214" t="s">
        <v>56</v>
      </c>
      <c r="E39" s="215">
        <f>C39/0.000009869233</f>
        <v>58160548.038535513</v>
      </c>
      <c r="F39" s="412">
        <v>178</v>
      </c>
      <c r="G39" s="214" t="s">
        <v>52</v>
      </c>
      <c r="H39" s="215">
        <f>F39/1000</f>
        <v>0.17799999999999999</v>
      </c>
      <c r="I39" s="412">
        <f t="shared" si="0"/>
        <v>10352.577550859321</v>
      </c>
      <c r="J39" s="274">
        <f t="shared" si="1"/>
        <v>10352577.550859321</v>
      </c>
      <c r="K39" s="274">
        <f t="shared" si="2"/>
        <v>2472.5525557342539</v>
      </c>
      <c r="L39" s="216">
        <f t="shared" si="3"/>
        <v>2.8757159863498116</v>
      </c>
      <c r="M39" s="631">
        <v>10352.6</v>
      </c>
      <c r="N39" s="632">
        <v>10352578</v>
      </c>
      <c r="O39" s="632">
        <v>2472.5500000000002</v>
      </c>
      <c r="P39" s="631">
        <v>2.8757199999999998</v>
      </c>
      <c r="Q39" s="221">
        <f t="shared" si="4"/>
        <v>-2.1684590691145834E-6</v>
      </c>
      <c r="R39" s="663">
        <f t="shared" si="5"/>
        <v>-4.3384430291365846E-8</v>
      </c>
      <c r="S39" s="222">
        <f t="shared" si="6"/>
        <v>1.0336420343501341E-6</v>
      </c>
      <c r="T39" s="223">
        <f t="shared" si="7"/>
        <v>-1.3957046548607782E-6</v>
      </c>
      <c r="U39" s="6"/>
      <c r="V39" s="6"/>
      <c r="W39" s="6"/>
      <c r="X39" s="6"/>
      <c r="Y39" s="6"/>
      <c r="Z39" s="6"/>
      <c r="AA39" s="4"/>
      <c r="AB39" s="4"/>
      <c r="AC39" s="4"/>
      <c r="AD39" s="4"/>
      <c r="AE39" s="4"/>
      <c r="AF39" s="4"/>
      <c r="AG39" s="4"/>
      <c r="AH39" s="4"/>
      <c r="AI39" s="4"/>
    </row>
    <row r="40" spans="3:35" x14ac:dyDescent="0.25">
      <c r="C40" s="412">
        <v>24</v>
      </c>
      <c r="D40" s="214" t="s">
        <v>57</v>
      </c>
      <c r="E40" s="215">
        <f>C40*100000</f>
        <v>2400000</v>
      </c>
      <c r="F40" s="412">
        <v>171</v>
      </c>
      <c r="G40" s="214" t="s">
        <v>52</v>
      </c>
      <c r="H40" s="215">
        <f t="shared" ref="H40:H46" si="11">F40/1000</f>
        <v>0.17100000000000001</v>
      </c>
      <c r="I40" s="412">
        <f t="shared" si="0"/>
        <v>410.40000000000003</v>
      </c>
      <c r="J40" s="274">
        <f t="shared" si="1"/>
        <v>410400.00000000006</v>
      </c>
      <c r="K40" s="274">
        <f t="shared" si="2"/>
        <v>98.017673752089806</v>
      </c>
      <c r="L40" s="216">
        <f t="shared" si="3"/>
        <v>0.114</v>
      </c>
      <c r="M40" s="631">
        <v>410.4</v>
      </c>
      <c r="N40" s="632">
        <v>410400</v>
      </c>
      <c r="O40" s="632">
        <v>98.017700000000005</v>
      </c>
      <c r="P40" s="631">
        <v>0.114</v>
      </c>
      <c r="Q40" s="221">
        <f t="shared" si="4"/>
        <v>1.38507355898655E-16</v>
      </c>
      <c r="R40" s="663">
        <f t="shared" si="5"/>
        <v>1.4183153244022271E-16</v>
      </c>
      <c r="S40" s="222">
        <f t="shared" si="6"/>
        <v>-2.6778752437549988E-7</v>
      </c>
      <c r="T40" s="223">
        <f t="shared" si="7"/>
        <v>0</v>
      </c>
      <c r="U40" s="6"/>
      <c r="V40" s="6"/>
      <c r="W40" s="6"/>
      <c r="X40" s="6"/>
      <c r="Y40" s="6"/>
      <c r="Z40" s="6"/>
      <c r="AA40" s="4"/>
      <c r="AB40" s="4"/>
      <c r="AC40" s="4"/>
      <c r="AD40" s="4"/>
      <c r="AE40" s="4"/>
      <c r="AF40" s="4"/>
      <c r="AG40" s="4"/>
      <c r="AH40" s="4"/>
      <c r="AI40" s="4"/>
    </row>
    <row r="41" spans="3:35" x14ac:dyDescent="0.25">
      <c r="C41" s="412">
        <v>957</v>
      </c>
      <c r="D41" s="214" t="s">
        <v>58</v>
      </c>
      <c r="E41" s="215">
        <f>C41*1000</f>
        <v>957000</v>
      </c>
      <c r="F41" s="412">
        <v>845</v>
      </c>
      <c r="G41" s="214" t="s">
        <v>52</v>
      </c>
      <c r="H41" s="215">
        <f t="shared" si="11"/>
        <v>0.84499999999999997</v>
      </c>
      <c r="I41" s="412">
        <f t="shared" si="0"/>
        <v>808.66499999999996</v>
      </c>
      <c r="J41" s="274">
        <f t="shared" si="1"/>
        <v>808665</v>
      </c>
      <c r="K41" s="274">
        <f t="shared" si="2"/>
        <v>193.13709099593979</v>
      </c>
      <c r="L41" s="216">
        <f t="shared" si="3"/>
        <v>0.22462916666666666</v>
      </c>
      <c r="M41" s="631">
        <v>808.66499999999996</v>
      </c>
      <c r="N41" s="632">
        <v>808665</v>
      </c>
      <c r="O41" s="632">
        <v>193.137</v>
      </c>
      <c r="P41" s="631">
        <v>0.224629</v>
      </c>
      <c r="Q41" s="221">
        <f t="shared" si="4"/>
        <v>0</v>
      </c>
      <c r="R41" s="663">
        <f t="shared" si="5"/>
        <v>0</v>
      </c>
      <c r="S41" s="222">
        <f t="shared" si="6"/>
        <v>4.7114689010103878E-7</v>
      </c>
      <c r="T41" s="223">
        <f t="shared" si="7"/>
        <v>7.4196360666524058E-7</v>
      </c>
      <c r="U41" s="6"/>
      <c r="V41" s="6"/>
      <c r="W41" s="6"/>
      <c r="X41" s="6"/>
      <c r="Y41" s="6"/>
      <c r="Z41" s="6"/>
      <c r="AA41" s="4"/>
      <c r="AB41" s="4"/>
      <c r="AC41" s="4"/>
      <c r="AD41" s="4"/>
      <c r="AE41" s="4"/>
      <c r="AF41" s="4"/>
      <c r="AG41" s="4"/>
      <c r="AH41" s="4"/>
      <c r="AI41" s="4"/>
    </row>
    <row r="42" spans="3:35" x14ac:dyDescent="0.25">
      <c r="C42" s="412">
        <v>58741</v>
      </c>
      <c r="D42" s="214" t="s">
        <v>59</v>
      </c>
      <c r="E42" s="215">
        <f>C42*9.80665</f>
        <v>576052.42764999997</v>
      </c>
      <c r="F42" s="412">
        <v>541</v>
      </c>
      <c r="G42" s="214" t="s">
        <v>52</v>
      </c>
      <c r="H42" s="215">
        <f t="shared" si="11"/>
        <v>0.54100000000000004</v>
      </c>
      <c r="I42" s="412">
        <f t="shared" si="0"/>
        <v>311.64436335865003</v>
      </c>
      <c r="J42" s="274">
        <f t="shared" si="1"/>
        <v>311644.36335865001</v>
      </c>
      <c r="K42" s="274">
        <f t="shared" si="2"/>
        <v>74.431421867363269</v>
      </c>
      <c r="L42" s="216">
        <f t="shared" si="3"/>
        <v>8.6567878710736124E-2</v>
      </c>
      <c r="M42" s="631">
        <v>311.64400000000001</v>
      </c>
      <c r="N42" s="632">
        <v>311644</v>
      </c>
      <c r="O42" s="632">
        <v>74.431399999999996</v>
      </c>
      <c r="P42" s="631">
        <v>8.6567900000000003E-2</v>
      </c>
      <c r="Q42" s="221">
        <f t="shared" si="4"/>
        <v>1.1659400674025786E-6</v>
      </c>
      <c r="R42" s="663">
        <f t="shared" si="5"/>
        <v>1.1659400673617215E-6</v>
      </c>
      <c r="S42" s="222">
        <f t="shared" si="6"/>
        <v>2.9379209377457733E-7</v>
      </c>
      <c r="T42" s="223">
        <f t="shared" si="7"/>
        <v>-2.4592567354806246E-7</v>
      </c>
      <c r="U42" s="6"/>
      <c r="V42" s="6"/>
      <c r="W42" s="6"/>
      <c r="X42" s="6"/>
      <c r="Y42" s="6"/>
      <c r="Z42" s="6"/>
      <c r="AA42" s="4"/>
      <c r="AB42" s="4"/>
      <c r="AC42" s="4"/>
      <c r="AD42" s="4"/>
      <c r="AE42" s="4"/>
      <c r="AF42" s="4"/>
      <c r="AG42" s="4"/>
      <c r="AH42" s="4"/>
      <c r="AI42" s="4"/>
    </row>
    <row r="43" spans="3:35" x14ac:dyDescent="0.25">
      <c r="C43" s="412">
        <v>2254</v>
      </c>
      <c r="D43" s="214" t="s">
        <v>67</v>
      </c>
      <c r="E43" s="215">
        <f>C43*1000000</f>
        <v>2254000000</v>
      </c>
      <c r="F43" s="412">
        <v>9</v>
      </c>
      <c r="G43" s="214" t="s">
        <v>52</v>
      </c>
      <c r="H43" s="215">
        <f t="shared" si="11"/>
        <v>8.9999999999999993E-3</v>
      </c>
      <c r="I43" s="412">
        <f t="shared" si="0"/>
        <v>20286</v>
      </c>
      <c r="J43" s="274">
        <f t="shared" si="1"/>
        <v>20286000</v>
      </c>
      <c r="K43" s="274">
        <f t="shared" si="2"/>
        <v>4844.9964174826846</v>
      </c>
      <c r="L43" s="216">
        <f t="shared" si="3"/>
        <v>5.6349999999999998</v>
      </c>
      <c r="M43" s="631">
        <v>20286</v>
      </c>
      <c r="N43" s="632">
        <v>20286000</v>
      </c>
      <c r="O43" s="632">
        <v>4845</v>
      </c>
      <c r="P43" s="631">
        <v>5.6349999999999998</v>
      </c>
      <c r="Q43" s="221">
        <f t="shared" si="4"/>
        <v>0</v>
      </c>
      <c r="R43" s="663">
        <f t="shared" si="5"/>
        <v>0</v>
      </c>
      <c r="S43" s="222">
        <f t="shared" si="6"/>
        <v>-7.3942620524566025E-7</v>
      </c>
      <c r="T43" s="223">
        <f t="shared" si="7"/>
        <v>0</v>
      </c>
      <c r="U43" s="6"/>
      <c r="V43" s="6"/>
      <c r="W43" s="6"/>
      <c r="X43" s="6"/>
      <c r="Y43" s="6"/>
      <c r="Z43" s="6"/>
      <c r="AA43" s="4"/>
      <c r="AB43" s="4"/>
      <c r="AC43" s="4"/>
      <c r="AD43" s="4"/>
      <c r="AE43" s="4"/>
      <c r="AF43" s="4"/>
      <c r="AG43" s="4"/>
      <c r="AH43" s="4"/>
      <c r="AI43" s="4"/>
    </row>
    <row r="44" spans="3:35" x14ac:dyDescent="0.25">
      <c r="C44" s="412">
        <v>57</v>
      </c>
      <c r="D44" s="214" t="s">
        <v>61</v>
      </c>
      <c r="E44" s="215">
        <f>C44</f>
        <v>57</v>
      </c>
      <c r="F44" s="412">
        <v>78</v>
      </c>
      <c r="G44" s="214" t="s">
        <v>52</v>
      </c>
      <c r="H44" s="215">
        <f t="shared" si="11"/>
        <v>7.8E-2</v>
      </c>
      <c r="I44" s="412">
        <f t="shared" si="0"/>
        <v>4.4459999999999994E-3</v>
      </c>
      <c r="J44" s="274">
        <f t="shared" si="1"/>
        <v>4.4459999999999997</v>
      </c>
      <c r="K44" s="274">
        <f t="shared" si="2"/>
        <v>1.0618581323143059E-3</v>
      </c>
      <c r="L44" s="216">
        <f t="shared" si="3"/>
        <v>1.2349999999999998E-6</v>
      </c>
      <c r="M44" s="631">
        <v>4.4460000000000003E-3</v>
      </c>
      <c r="N44" s="632">
        <v>4.4459999999999997</v>
      </c>
      <c r="O44" s="632">
        <v>1.06186E-3</v>
      </c>
      <c r="P44" s="637">
        <v>1.235E-6</v>
      </c>
      <c r="Q44" s="221">
        <f t="shared" si="4"/>
        <v>-1.9508811020881774E-16</v>
      </c>
      <c r="R44" s="663">
        <f t="shared" si="5"/>
        <v>0</v>
      </c>
      <c r="S44" s="222">
        <f t="shared" si="6"/>
        <v>-1.7588843906716839E-6</v>
      </c>
      <c r="T44" s="223">
        <f t="shared" si="7"/>
        <v>-1.7146415936321873E-16</v>
      </c>
      <c r="U44" s="6"/>
      <c r="V44" s="6"/>
      <c r="W44" s="6"/>
      <c r="X44" s="6"/>
      <c r="Y44" s="6"/>
      <c r="Z44" s="6"/>
      <c r="AA44" s="4"/>
      <c r="AB44" s="4"/>
      <c r="AC44" s="4"/>
      <c r="AD44" s="4"/>
      <c r="AE44" s="4"/>
      <c r="AF44" s="4"/>
      <c r="AG44" s="4"/>
      <c r="AH44" s="4"/>
      <c r="AI44" s="4"/>
    </row>
    <row r="45" spans="3:35" x14ac:dyDescent="0.25">
      <c r="C45" s="412">
        <v>47</v>
      </c>
      <c r="D45" s="214" t="s">
        <v>66</v>
      </c>
      <c r="E45" s="215">
        <f>C45/0.0001450377</f>
        <v>324053.67707844236</v>
      </c>
      <c r="F45" s="412">
        <v>56698</v>
      </c>
      <c r="G45" s="214" t="s">
        <v>52</v>
      </c>
      <c r="H45" s="215">
        <f t="shared" si="11"/>
        <v>56.698</v>
      </c>
      <c r="I45" s="412">
        <f t="shared" si="0"/>
        <v>18373.195382993523</v>
      </c>
      <c r="J45" s="274">
        <f t="shared" si="1"/>
        <v>18373195.382993523</v>
      </c>
      <c r="K45" s="274">
        <f t="shared" si="2"/>
        <v>4388.1527067097022</v>
      </c>
      <c r="L45" s="216">
        <f t="shared" si="3"/>
        <v>5.1036653841648674</v>
      </c>
      <c r="M45" s="631">
        <v>18373.2</v>
      </c>
      <c r="N45" s="632">
        <v>18373195</v>
      </c>
      <c r="O45" s="632">
        <v>4388.1499999999996</v>
      </c>
      <c r="P45" s="631">
        <v>5.1036700000000002</v>
      </c>
      <c r="Q45" s="221">
        <f t="shared" si="4"/>
        <v>-2.5129033799980797E-7</v>
      </c>
      <c r="R45" s="663">
        <f t="shared" si="5"/>
        <v>2.0845232146498431E-8</v>
      </c>
      <c r="S45" s="222">
        <f t="shared" si="6"/>
        <v>6.1682213074320628E-7</v>
      </c>
      <c r="T45" s="223">
        <f t="shared" si="7"/>
        <v>-9.0441570623015302E-7</v>
      </c>
      <c r="U45" s="6"/>
      <c r="V45" s="6"/>
      <c r="W45" s="6"/>
      <c r="X45" s="6"/>
      <c r="Y45" s="6"/>
      <c r="Z45" s="6"/>
      <c r="AA45" s="4"/>
      <c r="AB45" s="4"/>
      <c r="AC45" s="4"/>
      <c r="AD45" s="4"/>
      <c r="AE45" s="4"/>
      <c r="AF45" s="4"/>
      <c r="AG45" s="4"/>
      <c r="AH45" s="4"/>
      <c r="AI45" s="4"/>
    </row>
    <row r="46" spans="3:35" ht="15.75" thickBot="1" x14ac:dyDescent="0.3">
      <c r="C46" s="422">
        <v>59</v>
      </c>
      <c r="D46" s="228" t="s">
        <v>63</v>
      </c>
      <c r="E46" s="229">
        <f>C46/0.007500616</f>
        <v>7866.0206041743777</v>
      </c>
      <c r="F46" s="422">
        <v>884</v>
      </c>
      <c r="G46" s="228" t="s">
        <v>52</v>
      </c>
      <c r="H46" s="229">
        <f t="shared" si="11"/>
        <v>0.88400000000000001</v>
      </c>
      <c r="I46" s="422">
        <f t="shared" si="0"/>
        <v>6.9535622140901499</v>
      </c>
      <c r="J46" s="423">
        <f t="shared" si="1"/>
        <v>6953.5622140901496</v>
      </c>
      <c r="K46" s="423">
        <f t="shared" si="2"/>
        <v>1.6607504690924646</v>
      </c>
      <c r="L46" s="230">
        <f t="shared" si="3"/>
        <v>1.931545059469486E-3</v>
      </c>
      <c r="M46" s="657">
        <v>6.9535600000000004</v>
      </c>
      <c r="N46" s="658">
        <v>6953.56</v>
      </c>
      <c r="O46" s="658">
        <v>1.6607499999999999</v>
      </c>
      <c r="P46" s="657">
        <v>1.93155E-3</v>
      </c>
      <c r="Q46" s="437">
        <f t="shared" si="4"/>
        <v>3.184109210898251E-7</v>
      </c>
      <c r="R46" s="664">
        <f t="shared" si="5"/>
        <v>3.1841092105610435E-7</v>
      </c>
      <c r="S46" s="438">
        <f t="shared" si="6"/>
        <v>2.8245812563661665E-7</v>
      </c>
      <c r="T46" s="439">
        <f t="shared" si="7"/>
        <v>-2.5578127156665734E-6</v>
      </c>
      <c r="U46" s="6"/>
      <c r="V46" s="6"/>
      <c r="W46" s="6"/>
      <c r="X46" s="6"/>
      <c r="Y46" s="6"/>
      <c r="Z46" s="6"/>
      <c r="AA46" s="4"/>
      <c r="AB46" s="4"/>
      <c r="AC46" s="4"/>
      <c r="AD46" s="4"/>
      <c r="AE46" s="4"/>
      <c r="AF46" s="4"/>
      <c r="AG46" s="4"/>
      <c r="AH46" s="4"/>
      <c r="AI46" s="4"/>
    </row>
    <row r="47" spans="3:35" ht="18" thickTop="1" x14ac:dyDescent="0.25">
      <c r="C47" s="1679">
        <v>365</v>
      </c>
      <c r="D47" s="127" t="s">
        <v>55</v>
      </c>
      <c r="E47" s="1640">
        <f>C47/0.00001019716</f>
        <v>35794279.975993313</v>
      </c>
      <c r="F47" s="1679">
        <v>154</v>
      </c>
      <c r="G47" s="127" t="s">
        <v>53</v>
      </c>
      <c r="H47" s="1640">
        <f>F47</f>
        <v>154</v>
      </c>
      <c r="I47" s="1679">
        <f t="shared" si="0"/>
        <v>5512319.1163029699</v>
      </c>
      <c r="J47" s="132">
        <f t="shared" si="1"/>
        <v>5512319116.3029699</v>
      </c>
      <c r="K47" s="132">
        <f t="shared" si="2"/>
        <v>1316531.912181268</v>
      </c>
      <c r="L47" s="1642">
        <f t="shared" si="3"/>
        <v>1531.1997545286029</v>
      </c>
      <c r="M47" s="1680">
        <v>5512319</v>
      </c>
      <c r="N47" s="1681">
        <v>5512319116</v>
      </c>
      <c r="O47" s="1681">
        <v>1316532</v>
      </c>
      <c r="P47" s="1680">
        <v>1531.2</v>
      </c>
      <c r="Q47" s="143">
        <f t="shared" si="4"/>
        <v>2.1098736740681225E-8</v>
      </c>
      <c r="R47" s="1682">
        <f t="shared" si="5"/>
        <v>5.4962335482374931E-11</v>
      </c>
      <c r="S47" s="144">
        <f t="shared" si="6"/>
        <v>-6.6704598048074081E-8</v>
      </c>
      <c r="T47" s="145">
        <f t="shared" si="7"/>
        <v>-1.6031311164130767E-7</v>
      </c>
      <c r="U47" s="6"/>
      <c r="V47" s="6"/>
      <c r="W47" s="6"/>
      <c r="X47" s="6"/>
      <c r="Y47" s="6"/>
      <c r="Z47" s="6"/>
      <c r="AA47" s="4"/>
      <c r="AB47" s="4"/>
      <c r="AC47" s="4"/>
      <c r="AD47" s="4"/>
      <c r="AE47" s="4"/>
      <c r="AF47" s="4"/>
      <c r="AG47" s="4"/>
      <c r="AH47" s="4"/>
      <c r="AI47" s="4"/>
    </row>
    <row r="48" spans="3:35" ht="17.25" x14ac:dyDescent="0.25">
      <c r="C48" s="1683">
        <v>15.5</v>
      </c>
      <c r="D48" s="64" t="s">
        <v>56</v>
      </c>
      <c r="E48" s="1253">
        <f>C48/0.000009869233</f>
        <v>1570537.4470336244</v>
      </c>
      <c r="F48" s="1683">
        <v>7888</v>
      </c>
      <c r="G48" s="64" t="s">
        <v>53</v>
      </c>
      <c r="H48" s="1253">
        <f>F48</f>
        <v>7888</v>
      </c>
      <c r="I48" s="1683">
        <f t="shared" si="0"/>
        <v>12388399.382201228</v>
      </c>
      <c r="J48" s="131">
        <f t="shared" si="1"/>
        <v>12388399382.201229</v>
      </c>
      <c r="K48" s="131">
        <f t="shared" si="2"/>
        <v>2958777.0198713224</v>
      </c>
      <c r="L48" s="56">
        <f t="shared" si="3"/>
        <v>3441.2220506114522</v>
      </c>
      <c r="M48" s="1684">
        <v>12388399</v>
      </c>
      <c r="N48" s="1685">
        <v>12388399382</v>
      </c>
      <c r="O48" s="1685">
        <v>2958777</v>
      </c>
      <c r="P48" s="1684">
        <v>3441.22</v>
      </c>
      <c r="Q48" s="136">
        <f t="shared" si="4"/>
        <v>3.0851542358241683E-8</v>
      </c>
      <c r="R48" s="1686">
        <f t="shared" si="5"/>
        <v>1.6243349059935541E-11</v>
      </c>
      <c r="S48" s="139">
        <f t="shared" si="6"/>
        <v>6.7160594747978163E-9</v>
      </c>
      <c r="T48" s="137">
        <f t="shared" si="7"/>
        <v>5.9589628982761723E-7</v>
      </c>
      <c r="U48" s="6"/>
      <c r="V48" s="6"/>
      <c r="W48" s="6"/>
      <c r="X48" s="6"/>
      <c r="Y48" s="6"/>
      <c r="Z48" s="6"/>
      <c r="AA48" s="4"/>
      <c r="AB48" s="4"/>
      <c r="AC48" s="4"/>
      <c r="AD48" s="4"/>
      <c r="AE48" s="4"/>
      <c r="AF48" s="4"/>
      <c r="AG48" s="4"/>
      <c r="AH48" s="4"/>
      <c r="AI48" s="4"/>
    </row>
    <row r="49" spans="3:35" ht="17.25" x14ac:dyDescent="0.25">
      <c r="C49" s="1683">
        <v>545</v>
      </c>
      <c r="D49" s="64" t="s">
        <v>57</v>
      </c>
      <c r="E49" s="1253">
        <f>C49*100000</f>
        <v>54500000</v>
      </c>
      <c r="F49" s="1683">
        <v>778</v>
      </c>
      <c r="G49" s="64" t="s">
        <v>68</v>
      </c>
      <c r="H49" s="1253">
        <f t="shared" ref="H49:H55" si="12">F49</f>
        <v>778</v>
      </c>
      <c r="I49" s="1683">
        <f t="shared" si="0"/>
        <v>42401000</v>
      </c>
      <c r="J49" s="131">
        <f t="shared" si="1"/>
        <v>42401000000</v>
      </c>
      <c r="K49" s="131">
        <f t="shared" si="2"/>
        <v>10126821.112968711</v>
      </c>
      <c r="L49" s="56">
        <f t="shared" si="3"/>
        <v>11778.055555555555</v>
      </c>
      <c r="M49" s="1684">
        <v>42401000</v>
      </c>
      <c r="N49" s="1685">
        <v>42401000000</v>
      </c>
      <c r="O49" s="1685">
        <v>10126821</v>
      </c>
      <c r="P49" s="1684">
        <v>11778.1</v>
      </c>
      <c r="Q49" s="136">
        <f t="shared" si="4"/>
        <v>0</v>
      </c>
      <c r="R49" s="1686">
        <f t="shared" si="5"/>
        <v>0</v>
      </c>
      <c r="S49" s="139">
        <f t="shared" si="6"/>
        <v>1.1155397130280495E-8</v>
      </c>
      <c r="T49" s="137">
        <f t="shared" si="7"/>
        <v>-3.7734959082149024E-6</v>
      </c>
      <c r="U49" s="6"/>
      <c r="V49" s="6"/>
      <c r="W49" s="6"/>
      <c r="X49" s="6"/>
      <c r="Y49" s="6"/>
      <c r="Z49" s="6"/>
      <c r="AA49" s="4"/>
      <c r="AB49" s="4"/>
      <c r="AC49" s="4"/>
      <c r="AD49" s="4"/>
      <c r="AE49" s="4"/>
      <c r="AF49" s="4"/>
      <c r="AG49" s="4"/>
      <c r="AH49" s="4"/>
      <c r="AI49" s="4"/>
    </row>
    <row r="50" spans="3:35" ht="17.25" x14ac:dyDescent="0.25">
      <c r="C50" s="1683">
        <v>54</v>
      </c>
      <c r="D50" s="64" t="s">
        <v>58</v>
      </c>
      <c r="E50" s="1253">
        <f>C50*1000</f>
        <v>54000</v>
      </c>
      <c r="F50" s="1683">
        <v>8984</v>
      </c>
      <c r="G50" s="64" t="s">
        <v>68</v>
      </c>
      <c r="H50" s="1253">
        <f t="shared" si="12"/>
        <v>8984</v>
      </c>
      <c r="I50" s="1683">
        <f t="shared" si="0"/>
        <v>485136</v>
      </c>
      <c r="J50" s="131">
        <f t="shared" si="1"/>
        <v>485136000</v>
      </c>
      <c r="K50" s="131">
        <f t="shared" si="2"/>
        <v>115867.20802483878</v>
      </c>
      <c r="L50" s="56">
        <f t="shared" si="3"/>
        <v>134.76</v>
      </c>
      <c r="M50" s="1684">
        <v>485136</v>
      </c>
      <c r="N50" s="1685">
        <v>485136000</v>
      </c>
      <c r="O50" s="1685">
        <v>115867</v>
      </c>
      <c r="P50" s="1684">
        <v>134.76</v>
      </c>
      <c r="Q50" s="136">
        <f t="shared" si="4"/>
        <v>0</v>
      </c>
      <c r="R50" s="1686">
        <f t="shared" si="5"/>
        <v>0</v>
      </c>
      <c r="S50" s="139">
        <f t="shared" si="6"/>
        <v>1.7953728438389849E-6</v>
      </c>
      <c r="T50" s="137">
        <f t="shared" si="7"/>
        <v>0</v>
      </c>
      <c r="U50" s="6"/>
      <c r="V50" s="6"/>
      <c r="W50" s="6"/>
      <c r="X50" s="6"/>
      <c r="Y50" s="6"/>
      <c r="Z50" s="6"/>
      <c r="AA50" s="4"/>
      <c r="AB50" s="4"/>
      <c r="AC50" s="4"/>
      <c r="AD50" s="4"/>
      <c r="AE50" s="4"/>
      <c r="AF50" s="4"/>
      <c r="AG50" s="4"/>
      <c r="AH50" s="4"/>
      <c r="AI50" s="4"/>
    </row>
    <row r="51" spans="3:35" ht="17.25" x14ac:dyDescent="0.25">
      <c r="C51" s="1683">
        <v>845</v>
      </c>
      <c r="D51" s="64" t="s">
        <v>59</v>
      </c>
      <c r="E51" s="1253">
        <f>C51*9.80665</f>
        <v>8286.6192499999997</v>
      </c>
      <c r="F51" s="1683">
        <v>777</v>
      </c>
      <c r="G51" s="64" t="s">
        <v>68</v>
      </c>
      <c r="H51" s="1253">
        <f t="shared" si="12"/>
        <v>777</v>
      </c>
      <c r="I51" s="1683">
        <f t="shared" si="0"/>
        <v>6438.70315725</v>
      </c>
      <c r="J51" s="131">
        <f t="shared" si="1"/>
        <v>6438703.1572500002</v>
      </c>
      <c r="K51" s="131">
        <f t="shared" si="2"/>
        <v>1537.7843700143301</v>
      </c>
      <c r="L51" s="56">
        <f t="shared" si="3"/>
        <v>1.7885286547916666</v>
      </c>
      <c r="M51" s="1684">
        <v>6438.7</v>
      </c>
      <c r="N51" s="1685">
        <v>6438703</v>
      </c>
      <c r="O51" s="1685">
        <v>1537.78</v>
      </c>
      <c r="P51" s="1684">
        <v>1.78853</v>
      </c>
      <c r="Q51" s="136">
        <f t="shared" si="4"/>
        <v>4.9035495550539043E-7</v>
      </c>
      <c r="R51" s="1686">
        <f t="shared" si="5"/>
        <v>2.4422619947442176E-8</v>
      </c>
      <c r="S51" s="139">
        <f t="shared" si="6"/>
        <v>2.8417601422661874E-6</v>
      </c>
      <c r="T51" s="137">
        <f t="shared" si="7"/>
        <v>-7.5213127270175992E-7</v>
      </c>
      <c r="U51" s="6"/>
      <c r="V51" s="6"/>
      <c r="W51" s="6"/>
      <c r="X51" s="6"/>
      <c r="Y51" s="6"/>
      <c r="Z51" s="6"/>
      <c r="AA51" s="4"/>
      <c r="AB51" s="4"/>
      <c r="AC51" s="4"/>
      <c r="AD51" s="4"/>
      <c r="AE51" s="4"/>
      <c r="AF51" s="4"/>
      <c r="AG51" s="4"/>
      <c r="AH51" s="4"/>
      <c r="AI51" s="4"/>
    </row>
    <row r="52" spans="3:35" ht="17.25" x14ac:dyDescent="0.25">
      <c r="C52" s="1683">
        <v>89</v>
      </c>
      <c r="D52" s="64" t="s">
        <v>67</v>
      </c>
      <c r="E52" s="1253">
        <f>C52*1000000</f>
        <v>89000000</v>
      </c>
      <c r="F52" s="1683">
        <v>771</v>
      </c>
      <c r="G52" s="64" t="s">
        <v>68</v>
      </c>
      <c r="H52" s="1253">
        <f t="shared" si="12"/>
        <v>771</v>
      </c>
      <c r="I52" s="1683">
        <f t="shared" si="0"/>
        <v>68619000</v>
      </c>
      <c r="J52" s="131">
        <f t="shared" si="1"/>
        <v>68619000000</v>
      </c>
      <c r="K52" s="131">
        <f t="shared" si="2"/>
        <v>16388583.711487938</v>
      </c>
      <c r="L52" s="56">
        <f t="shared" si="3"/>
        <v>19060.833333333332</v>
      </c>
      <c r="M52" s="1684">
        <v>68619000</v>
      </c>
      <c r="N52" s="1685">
        <v>68619000000</v>
      </c>
      <c r="O52" s="1685">
        <v>16388584</v>
      </c>
      <c r="P52" s="1684">
        <v>19060.8</v>
      </c>
      <c r="Q52" s="136">
        <f t="shared" si="4"/>
        <v>0</v>
      </c>
      <c r="R52" s="1686">
        <f t="shared" si="5"/>
        <v>0</v>
      </c>
      <c r="S52" s="139">
        <f t="shared" si="6"/>
        <v>-1.7604453646542458E-8</v>
      </c>
      <c r="T52" s="137">
        <f t="shared" si="7"/>
        <v>1.7487867791465014E-6</v>
      </c>
      <c r="U52" s="6"/>
      <c r="V52" s="6"/>
      <c r="W52" s="6"/>
      <c r="X52" s="6"/>
      <c r="Y52" s="6"/>
      <c r="Z52" s="6"/>
      <c r="AA52" s="4"/>
      <c r="AB52" s="4"/>
      <c r="AC52" s="4"/>
      <c r="AD52" s="4"/>
      <c r="AE52" s="4"/>
      <c r="AF52" s="4"/>
      <c r="AG52" s="4"/>
      <c r="AH52" s="4"/>
      <c r="AI52" s="4"/>
    </row>
    <row r="53" spans="3:35" ht="17.25" x14ac:dyDescent="0.25">
      <c r="C53" s="1683">
        <v>745</v>
      </c>
      <c r="D53" s="64" t="s">
        <v>61</v>
      </c>
      <c r="E53" s="1253">
        <f>C53</f>
        <v>745</v>
      </c>
      <c r="F53" s="1683">
        <v>5577</v>
      </c>
      <c r="G53" s="64" t="s">
        <v>68</v>
      </c>
      <c r="H53" s="1253">
        <f t="shared" si="12"/>
        <v>5577</v>
      </c>
      <c r="I53" s="1683">
        <f t="shared" si="0"/>
        <v>4154.8649999999998</v>
      </c>
      <c r="J53" s="131">
        <f t="shared" si="1"/>
        <v>4154865</v>
      </c>
      <c r="K53" s="131">
        <f t="shared" si="2"/>
        <v>992.32505373775962</v>
      </c>
      <c r="L53" s="56">
        <f t="shared" si="3"/>
        <v>1.1541291666666667</v>
      </c>
      <c r="M53" s="1684">
        <v>4154.8599999999997</v>
      </c>
      <c r="N53" s="1685">
        <v>4154865</v>
      </c>
      <c r="O53" s="1685">
        <v>992.32500000000005</v>
      </c>
      <c r="P53" s="1684">
        <v>1.1541300000000001</v>
      </c>
      <c r="Q53" s="136">
        <f t="shared" si="4"/>
        <v>1.2034085343589116E-6</v>
      </c>
      <c r="R53" s="1686">
        <f t="shared" si="5"/>
        <v>0</v>
      </c>
      <c r="S53" s="139">
        <f t="shared" si="6"/>
        <v>5.415338388318092E-8</v>
      </c>
      <c r="T53" s="137">
        <f t="shared" si="7"/>
        <v>-7.2204512070051225E-7</v>
      </c>
    </row>
    <row r="54" spans="3:35" ht="17.25" x14ac:dyDescent="0.25">
      <c r="C54" s="1683">
        <v>6667</v>
      </c>
      <c r="D54" s="64" t="s">
        <v>66</v>
      </c>
      <c r="E54" s="1253">
        <f>C54/0.0001450377</f>
        <v>45967358.831531383</v>
      </c>
      <c r="F54" s="1683">
        <v>44455</v>
      </c>
      <c r="G54" s="64" t="s">
        <v>68</v>
      </c>
      <c r="H54" s="1253">
        <f t="shared" si="12"/>
        <v>44455</v>
      </c>
      <c r="I54" s="1683">
        <f t="shared" si="0"/>
        <v>2043478936.8557274</v>
      </c>
      <c r="J54" s="131">
        <f t="shared" si="1"/>
        <v>2043478936855.7275</v>
      </c>
      <c r="K54" s="131">
        <f t="shared" si="2"/>
        <v>488053245.00972706</v>
      </c>
      <c r="L54" s="56">
        <f t="shared" si="3"/>
        <v>567633.0380154798</v>
      </c>
      <c r="M54" s="1684">
        <v>2043478937</v>
      </c>
      <c r="N54" s="1685">
        <v>2043478936856</v>
      </c>
      <c r="O54" s="1685">
        <v>488053245</v>
      </c>
      <c r="P54" s="1684">
        <v>567633</v>
      </c>
      <c r="Q54" s="136">
        <f t="shared" si="4"/>
        <v>-7.0601445035526032E-11</v>
      </c>
      <c r="R54" s="1686">
        <f t="shared" si="5"/>
        <v>-1.3333190403187216E-13</v>
      </c>
      <c r="S54" s="139">
        <f t="shared" si="6"/>
        <v>1.9930327058139854E-11</v>
      </c>
      <c r="T54" s="137">
        <f t="shared" si="7"/>
        <v>6.697192950030498E-8</v>
      </c>
    </row>
    <row r="55" spans="3:35" ht="18" thickBot="1" x14ac:dyDescent="0.3">
      <c r="C55" s="1687">
        <v>666</v>
      </c>
      <c r="D55" s="1655" t="s">
        <v>63</v>
      </c>
      <c r="E55" s="1688">
        <f>C55/0.007500616</f>
        <v>88792.707158985344</v>
      </c>
      <c r="F55" s="1687">
        <v>445</v>
      </c>
      <c r="G55" s="1655" t="s">
        <v>68</v>
      </c>
      <c r="H55" s="1688">
        <f t="shared" si="12"/>
        <v>445</v>
      </c>
      <c r="I55" s="1687">
        <f t="shared" si="0"/>
        <v>39512.754685748478</v>
      </c>
      <c r="J55" s="1689">
        <f t="shared" si="1"/>
        <v>39512754.68574848</v>
      </c>
      <c r="K55" s="1689">
        <f t="shared" si="2"/>
        <v>9437.0085229874549</v>
      </c>
      <c r="L55" s="1658">
        <f t="shared" si="3"/>
        <v>10.975765190485689</v>
      </c>
      <c r="M55" s="1690">
        <v>39512.800000000003</v>
      </c>
      <c r="N55" s="1691">
        <v>39512755</v>
      </c>
      <c r="O55" s="1691">
        <v>9437.01</v>
      </c>
      <c r="P55" s="1690">
        <v>10.9758</v>
      </c>
      <c r="Q55" s="1692">
        <f t="shared" si="4"/>
        <v>-1.1468259271129323E-6</v>
      </c>
      <c r="R55" s="1693">
        <f t="shared" si="5"/>
        <v>-7.953166572134049E-9</v>
      </c>
      <c r="S55" s="1694">
        <f t="shared" si="6"/>
        <v>-1.5651279129051446E-7</v>
      </c>
      <c r="T55" s="1695">
        <f t="shared" si="7"/>
        <v>-3.1714886121271742E-6</v>
      </c>
    </row>
    <row r="56" spans="3:35" ht="15.75" thickTop="1" x14ac:dyDescent="0.25">
      <c r="C56" s="1835">
        <v>3336</v>
      </c>
      <c r="D56" s="1785" t="s">
        <v>55</v>
      </c>
      <c r="E56" s="1786">
        <f>C56/0.00001019716</f>
        <v>327149912.32853067</v>
      </c>
      <c r="F56" s="1835">
        <v>899</v>
      </c>
      <c r="G56" s="1785" t="s">
        <v>54</v>
      </c>
      <c r="H56" s="1786">
        <f>F56/1000000</f>
        <v>8.9899999999999995E-4</v>
      </c>
      <c r="I56" s="1835">
        <f t="shared" si="0"/>
        <v>294.10777118334909</v>
      </c>
      <c r="J56" s="1836">
        <f t="shared" si="1"/>
        <v>294107.77118334908</v>
      </c>
      <c r="K56" s="1836">
        <f t="shared" si="2"/>
        <v>70.243078859171021</v>
      </c>
      <c r="L56" s="1837">
        <f t="shared" si="3"/>
        <v>8.1696603106485854E-2</v>
      </c>
      <c r="M56" s="1838">
        <v>294.108</v>
      </c>
      <c r="N56" s="1839">
        <v>294108</v>
      </c>
      <c r="O56" s="1839">
        <v>70.243099999999998</v>
      </c>
      <c r="P56" s="1838">
        <v>8.1696599999999994E-2</v>
      </c>
      <c r="Q56" s="1793">
        <f t="shared" si="4"/>
        <v>-7.7800273687703928E-7</v>
      </c>
      <c r="R56" s="1840">
        <f t="shared" si="5"/>
        <v>-7.7800273690023221E-7</v>
      </c>
      <c r="S56" s="1794">
        <f t="shared" si="6"/>
        <v>-3.009667190070086E-7</v>
      </c>
      <c r="T56" s="1795">
        <f t="shared" si="7"/>
        <v>3.8024663720311623E-8</v>
      </c>
      <c r="U56" s="6"/>
      <c r="V56" s="6"/>
      <c r="W56" s="6"/>
      <c r="X56" s="6"/>
      <c r="Y56" s="6"/>
      <c r="Z56" s="6"/>
      <c r="AA56" s="4"/>
      <c r="AB56" s="4"/>
      <c r="AC56" s="4"/>
      <c r="AD56" s="4"/>
      <c r="AE56" s="4"/>
      <c r="AF56" s="4"/>
      <c r="AG56" s="4"/>
      <c r="AH56" s="4"/>
      <c r="AI56" s="4"/>
    </row>
    <row r="57" spans="3:35" x14ac:dyDescent="0.25">
      <c r="C57" s="1841">
        <v>333</v>
      </c>
      <c r="D57" s="1797" t="s">
        <v>56</v>
      </c>
      <c r="E57" s="1798">
        <f>C57/0.000009869233</f>
        <v>33741223.862077221</v>
      </c>
      <c r="F57" s="1841">
        <v>988</v>
      </c>
      <c r="G57" s="1797" t="s">
        <v>54</v>
      </c>
      <c r="H57" s="1798">
        <f>F57/1000000</f>
        <v>9.8799999999999995E-4</v>
      </c>
      <c r="I57" s="1841">
        <f t="shared" si="0"/>
        <v>33.336329175732295</v>
      </c>
      <c r="J57" s="1842">
        <f t="shared" si="1"/>
        <v>33336.329175732295</v>
      </c>
      <c r="K57" s="1842">
        <f t="shared" si="2"/>
        <v>7.9618651004853813</v>
      </c>
      <c r="L57" s="1800">
        <f t="shared" si="3"/>
        <v>9.260091437703415E-3</v>
      </c>
      <c r="M57" s="1843">
        <v>33.336300000000001</v>
      </c>
      <c r="N57" s="1844">
        <v>33336.300000000003</v>
      </c>
      <c r="O57" s="1844">
        <v>7.9618700000000002</v>
      </c>
      <c r="P57" s="1843">
        <v>9.2600900000000003E-3</v>
      </c>
      <c r="Q57" s="1845">
        <f t="shared" si="4"/>
        <v>8.751933105863849E-7</v>
      </c>
      <c r="R57" s="1846">
        <f t="shared" si="5"/>
        <v>8.7519331052499947E-7</v>
      </c>
      <c r="S57" s="1847">
        <f t="shared" si="6"/>
        <v>-6.1537272448976908E-7</v>
      </c>
      <c r="T57" s="1848">
        <f t="shared" si="7"/>
        <v>1.5525801492619421E-7</v>
      </c>
      <c r="U57" s="6"/>
      <c r="V57" s="6"/>
      <c r="W57" s="6"/>
      <c r="X57" s="6"/>
      <c r="Y57" s="6"/>
      <c r="Z57" s="6"/>
      <c r="AA57" s="4"/>
      <c r="AB57" s="4"/>
      <c r="AC57" s="4"/>
      <c r="AD57" s="4"/>
      <c r="AE57" s="4"/>
      <c r="AF57" s="4"/>
      <c r="AG57" s="4"/>
      <c r="AH57" s="4"/>
      <c r="AI57" s="4"/>
    </row>
    <row r="58" spans="3:35" x14ac:dyDescent="0.25">
      <c r="C58" s="1841">
        <v>7855</v>
      </c>
      <c r="D58" s="1797" t="s">
        <v>57</v>
      </c>
      <c r="E58" s="1798">
        <f>C58*100000</f>
        <v>785500000</v>
      </c>
      <c r="F58" s="1841">
        <v>8895</v>
      </c>
      <c r="G58" s="1797" t="s">
        <v>54</v>
      </c>
      <c r="H58" s="1798">
        <f t="shared" ref="H58:H64" si="13">F58/1000000</f>
        <v>8.8950000000000001E-3</v>
      </c>
      <c r="I58" s="1841">
        <f t="shared" si="0"/>
        <v>6987.0225</v>
      </c>
      <c r="J58" s="1842">
        <f t="shared" si="1"/>
        <v>6987022.5</v>
      </c>
      <c r="K58" s="1842">
        <f t="shared" si="2"/>
        <v>1668.7419393360401</v>
      </c>
      <c r="L58" s="1800">
        <f t="shared" si="3"/>
        <v>1.9408395833333334</v>
      </c>
      <c r="M58" s="1843">
        <v>6987.02</v>
      </c>
      <c r="N58" s="1844">
        <v>6987022</v>
      </c>
      <c r="O58" s="1844">
        <v>1668.74</v>
      </c>
      <c r="P58" s="1843">
        <v>1.9408399999999999</v>
      </c>
      <c r="Q58" s="1845">
        <f t="shared" si="4"/>
        <v>3.578062042307467E-7</v>
      </c>
      <c r="R58" s="1846">
        <f t="shared" si="5"/>
        <v>7.1561240857604221E-8</v>
      </c>
      <c r="S58" s="1847">
        <f t="shared" si="6"/>
        <v>1.162154551510262E-6</v>
      </c>
      <c r="T58" s="1848">
        <f t="shared" si="7"/>
        <v>-2.1468372248841425E-7</v>
      </c>
      <c r="U58" s="6"/>
      <c r="V58" s="6"/>
      <c r="W58" s="6"/>
      <c r="X58" s="6"/>
      <c r="Y58" s="6"/>
      <c r="Z58" s="6"/>
      <c r="AA58" s="4"/>
      <c r="AB58" s="4"/>
      <c r="AC58" s="4"/>
      <c r="AD58" s="4"/>
      <c r="AE58" s="4"/>
      <c r="AF58" s="4"/>
      <c r="AG58" s="4"/>
      <c r="AH58" s="4"/>
      <c r="AI58" s="4"/>
    </row>
    <row r="59" spans="3:35" x14ac:dyDescent="0.25">
      <c r="C59" s="1841">
        <v>15444</v>
      </c>
      <c r="D59" s="1797" t="s">
        <v>58</v>
      </c>
      <c r="E59" s="1798">
        <f>C59*1000</f>
        <v>15444000</v>
      </c>
      <c r="F59" s="1841">
        <v>487</v>
      </c>
      <c r="G59" s="1797" t="s">
        <v>54</v>
      </c>
      <c r="H59" s="1798">
        <f t="shared" si="13"/>
        <v>4.8700000000000002E-4</v>
      </c>
      <c r="I59" s="1841">
        <f t="shared" si="0"/>
        <v>7.5212279999999998</v>
      </c>
      <c r="J59" s="1842">
        <f t="shared" si="1"/>
        <v>7521.2280000000001</v>
      </c>
      <c r="K59" s="1842">
        <f t="shared" si="2"/>
        <v>1.796328636255075</v>
      </c>
      <c r="L59" s="1800">
        <f t="shared" si="3"/>
        <v>2.0892300000000001E-3</v>
      </c>
      <c r="M59" s="1843">
        <v>7.5212300000000001</v>
      </c>
      <c r="N59" s="1844">
        <v>7521.23</v>
      </c>
      <c r="O59" s="1844">
        <v>1.79633</v>
      </c>
      <c r="P59" s="1843">
        <v>2.0892300000000001E-3</v>
      </c>
      <c r="Q59" s="1845">
        <f t="shared" si="4"/>
        <v>-2.6591402365139789E-7</v>
      </c>
      <c r="R59" s="1846">
        <f t="shared" si="5"/>
        <v>-2.6591402354747907E-7</v>
      </c>
      <c r="S59" s="1847">
        <f t="shared" si="6"/>
        <v>-7.5918453754103742E-7</v>
      </c>
      <c r="T59" s="1848">
        <f t="shared" si="7"/>
        <v>0</v>
      </c>
      <c r="U59" s="6"/>
      <c r="V59" s="6"/>
      <c r="W59" s="6"/>
      <c r="X59" s="6"/>
      <c r="Y59" s="6"/>
      <c r="Z59" s="6"/>
      <c r="AA59" s="4"/>
      <c r="AB59" s="4"/>
      <c r="AC59" s="4"/>
      <c r="AD59" s="4"/>
      <c r="AE59" s="4"/>
      <c r="AF59" s="4"/>
      <c r="AG59" s="4"/>
      <c r="AH59" s="4"/>
      <c r="AI59" s="4"/>
    </row>
    <row r="60" spans="3:35" x14ac:dyDescent="0.25">
      <c r="C60" s="1841">
        <v>1223</v>
      </c>
      <c r="D60" s="1797" t="s">
        <v>59</v>
      </c>
      <c r="E60" s="1798">
        <f>C60*9.80665</f>
        <v>11993.532949999999</v>
      </c>
      <c r="F60" s="1841">
        <v>3333</v>
      </c>
      <c r="G60" s="1797" t="s">
        <v>54</v>
      </c>
      <c r="H60" s="1798">
        <f t="shared" si="13"/>
        <v>3.333E-3</v>
      </c>
      <c r="I60" s="1841">
        <f t="shared" si="0"/>
        <v>3.9974445322349991E-2</v>
      </c>
      <c r="J60" s="1842">
        <f t="shared" si="1"/>
        <v>39.974445322349993</v>
      </c>
      <c r="K60" s="1842">
        <f t="shared" si="2"/>
        <v>9.547276169656076E-3</v>
      </c>
      <c r="L60" s="1800">
        <f t="shared" si="3"/>
        <v>1.1104012589541664E-5</v>
      </c>
      <c r="M60" s="1843">
        <v>3.99744E-2</v>
      </c>
      <c r="N60" s="1844">
        <v>39.974400000000003</v>
      </c>
      <c r="O60" s="1844">
        <v>9.54728E-3</v>
      </c>
      <c r="P60" s="1849">
        <v>1.1104012589541699E-5</v>
      </c>
      <c r="Q60" s="1845">
        <f t="shared" si="4"/>
        <v>1.1337830863086524E-6</v>
      </c>
      <c r="R60" s="1846">
        <f t="shared" si="5"/>
        <v>1.1337830862905997E-6</v>
      </c>
      <c r="S60" s="1847">
        <f t="shared" si="6"/>
        <v>-4.0119756210224198E-7</v>
      </c>
      <c r="T60" s="1848">
        <f t="shared" si="7"/>
        <v>-3.2038313625641383E-15</v>
      </c>
      <c r="U60" s="6"/>
      <c r="V60" s="6"/>
      <c r="W60" s="6"/>
      <c r="X60" s="6"/>
      <c r="Y60" s="6"/>
      <c r="Z60" s="6"/>
      <c r="AA60" s="4"/>
      <c r="AB60" s="4"/>
      <c r="AC60" s="4"/>
      <c r="AD60" s="4"/>
      <c r="AE60" s="4"/>
      <c r="AF60" s="4"/>
      <c r="AG60" s="4"/>
      <c r="AH60" s="4"/>
      <c r="AI60" s="4"/>
    </row>
    <row r="61" spans="3:35" x14ac:dyDescent="0.25">
      <c r="C61" s="1841">
        <v>7892</v>
      </c>
      <c r="D61" s="1797" t="s">
        <v>67</v>
      </c>
      <c r="E61" s="1798">
        <f>C61*1000000</f>
        <v>7892000000</v>
      </c>
      <c r="F61" s="1841">
        <v>333</v>
      </c>
      <c r="G61" s="1797" t="s">
        <v>54</v>
      </c>
      <c r="H61" s="1798">
        <f t="shared" si="13"/>
        <v>3.3300000000000002E-4</v>
      </c>
      <c r="I61" s="1841">
        <f t="shared" si="0"/>
        <v>2628.0360000000001</v>
      </c>
      <c r="J61" s="1842">
        <f t="shared" si="1"/>
        <v>2628036</v>
      </c>
      <c r="K61" s="1842">
        <f t="shared" si="2"/>
        <v>627.66563171721998</v>
      </c>
      <c r="L61" s="1800">
        <f t="shared" si="3"/>
        <v>0.73001000000000005</v>
      </c>
      <c r="M61" s="1843">
        <v>2628.04</v>
      </c>
      <c r="N61" s="1844">
        <v>2628036</v>
      </c>
      <c r="O61" s="1844">
        <v>627.66600000000005</v>
      </c>
      <c r="P61" s="1843">
        <v>0.73001000000000005</v>
      </c>
      <c r="Q61" s="1845">
        <f t="shared" si="4"/>
        <v>-1.5220491651961435E-6</v>
      </c>
      <c r="R61" s="1846">
        <f t="shared" si="5"/>
        <v>0</v>
      </c>
      <c r="S61" s="1847">
        <f t="shared" si="6"/>
        <v>-5.8674995326011479E-7</v>
      </c>
      <c r="T61" s="1848">
        <f t="shared" si="7"/>
        <v>0</v>
      </c>
      <c r="U61" s="6"/>
      <c r="V61" s="6"/>
      <c r="W61" s="6"/>
      <c r="X61" s="6"/>
      <c r="Y61" s="6"/>
      <c r="Z61" s="6"/>
      <c r="AA61" s="4"/>
      <c r="AB61" s="4"/>
      <c r="AC61" s="4"/>
      <c r="AD61" s="4"/>
      <c r="AE61" s="4"/>
      <c r="AF61" s="4"/>
      <c r="AG61" s="4"/>
      <c r="AH61" s="4"/>
      <c r="AI61" s="4"/>
    </row>
    <row r="62" spans="3:35" x14ac:dyDescent="0.25">
      <c r="C62" s="1841">
        <v>455</v>
      </c>
      <c r="D62" s="1797" t="s">
        <v>61</v>
      </c>
      <c r="E62" s="1798">
        <f>C62</f>
        <v>455</v>
      </c>
      <c r="F62" s="1841">
        <v>33</v>
      </c>
      <c r="G62" s="1797" t="s">
        <v>54</v>
      </c>
      <c r="H62" s="1798">
        <f t="shared" si="13"/>
        <v>3.3000000000000003E-5</v>
      </c>
      <c r="I62" s="1841">
        <f t="shared" si="0"/>
        <v>1.5015000000000001E-5</v>
      </c>
      <c r="J62" s="1842">
        <f t="shared" si="1"/>
        <v>1.5015000000000001E-2</v>
      </c>
      <c r="K62" s="1842">
        <f t="shared" si="2"/>
        <v>3.5860998328158588E-6</v>
      </c>
      <c r="L62" s="1800">
        <f t="shared" si="3"/>
        <v>4.1708333333333335E-9</v>
      </c>
      <c r="M62" s="1849">
        <v>1.5014999999999999E-5</v>
      </c>
      <c r="N62" s="1844">
        <v>1.5015000000000001E-2</v>
      </c>
      <c r="O62" s="1850">
        <v>3.5860998328158601E-6</v>
      </c>
      <c r="P62" s="1849">
        <v>4.1708333333333301E-9</v>
      </c>
      <c r="Q62" s="1845">
        <f t="shared" si="4"/>
        <v>1.128249013991742E-16</v>
      </c>
      <c r="R62" s="1846">
        <f t="shared" si="5"/>
        <v>0</v>
      </c>
      <c r="S62" s="1847">
        <f t="shared" si="6"/>
        <v>-3.5429839661875678E-16</v>
      </c>
      <c r="T62" s="1848">
        <f t="shared" si="7"/>
        <v>7.9330008796294359E-16</v>
      </c>
    </row>
    <row r="63" spans="3:35" x14ac:dyDescent="0.25">
      <c r="C63" s="1841">
        <v>78</v>
      </c>
      <c r="D63" s="1797" t="s">
        <v>66</v>
      </c>
      <c r="E63" s="1798">
        <f>C63/0.0001450377</f>
        <v>537791.20876847883</v>
      </c>
      <c r="F63" s="1841">
        <v>12</v>
      </c>
      <c r="G63" s="1797" t="s">
        <v>54</v>
      </c>
      <c r="H63" s="1798">
        <f t="shared" si="13"/>
        <v>1.2E-5</v>
      </c>
      <c r="I63" s="1841">
        <f t="shared" si="0"/>
        <v>6.4534945052217461E-3</v>
      </c>
      <c r="J63" s="1842">
        <f t="shared" si="1"/>
        <v>6.4534945052217463</v>
      </c>
      <c r="K63" s="1842">
        <f t="shared" si="2"/>
        <v>1.5413170540295546E-3</v>
      </c>
      <c r="L63" s="1800">
        <f t="shared" si="3"/>
        <v>1.7926373625615962E-6</v>
      </c>
      <c r="M63" s="1843">
        <v>6.4534900000000001E-3</v>
      </c>
      <c r="N63" s="1844">
        <v>6.4534900000000004</v>
      </c>
      <c r="O63" s="1844">
        <v>1.5413200000000001E-3</v>
      </c>
      <c r="P63" s="1849">
        <v>1.7926373625616E-6</v>
      </c>
      <c r="Q63" s="1845">
        <f t="shared" si="4"/>
        <v>6.9810576926454035E-7</v>
      </c>
      <c r="R63" s="1846">
        <f t="shared" si="5"/>
        <v>6.981057692451865E-7</v>
      </c>
      <c r="S63" s="1847">
        <f t="shared" si="6"/>
        <v>-1.9113331924486703E-6</v>
      </c>
      <c r="T63" s="1848">
        <f t="shared" si="7"/>
        <v>-2.1262796047035871E-15</v>
      </c>
    </row>
    <row r="64" spans="3:35" ht="15.75" thickBot="1" x14ac:dyDescent="0.3">
      <c r="C64" s="1851">
        <v>369</v>
      </c>
      <c r="D64" s="1852" t="s">
        <v>63</v>
      </c>
      <c r="E64" s="1853">
        <f>C64/0.007500616</f>
        <v>49195.95937187026</v>
      </c>
      <c r="F64" s="1851">
        <v>98</v>
      </c>
      <c r="G64" s="1852" t="s">
        <v>54</v>
      </c>
      <c r="H64" s="1853">
        <f t="shared" si="13"/>
        <v>9.7999999999999997E-5</v>
      </c>
      <c r="I64" s="1851">
        <f t="shared" si="0"/>
        <v>4.821204018443285E-3</v>
      </c>
      <c r="J64" s="1854">
        <f t="shared" si="1"/>
        <v>4.8212040184432849</v>
      </c>
      <c r="K64" s="1854">
        <f t="shared" si="2"/>
        <v>1.1514697918421984E-3</v>
      </c>
      <c r="L64" s="1855">
        <f t="shared" si="3"/>
        <v>1.3392233384564682E-6</v>
      </c>
      <c r="M64" s="1856">
        <v>4.8212000000000003E-3</v>
      </c>
      <c r="N64" s="1857">
        <v>4.8212000000000002</v>
      </c>
      <c r="O64" s="1857">
        <v>1.1514699999999999E-3</v>
      </c>
      <c r="P64" s="1858">
        <v>1.3392233384564701E-6</v>
      </c>
      <c r="Q64" s="1822">
        <f t="shared" si="4"/>
        <v>8.3349372259513026E-7</v>
      </c>
      <c r="R64" s="1859">
        <f t="shared" si="5"/>
        <v>8.3349372260952272E-7</v>
      </c>
      <c r="S64" s="1823">
        <f t="shared" si="6"/>
        <v>-1.8077573811940563E-7</v>
      </c>
      <c r="T64" s="1824">
        <f t="shared" si="7"/>
        <v>-1.4230816299234656E-15</v>
      </c>
    </row>
    <row r="65" spans="3:26" ht="15.75" thickTop="1" x14ac:dyDescent="0.25">
      <c r="F65" s="6"/>
      <c r="G65" s="11"/>
      <c r="H65" s="6"/>
    </row>
    <row r="66" spans="3:26" ht="15.75" thickBot="1" x14ac:dyDescent="0.3">
      <c r="J66" s="6"/>
    </row>
    <row r="67" spans="3:26" ht="15.75" thickTop="1" x14ac:dyDescent="0.25">
      <c r="C67" s="2488" t="s">
        <v>0</v>
      </c>
      <c r="D67" s="2489"/>
      <c r="E67" s="2489"/>
      <c r="F67" s="2489"/>
      <c r="G67" s="2489"/>
      <c r="H67" s="2489"/>
      <c r="I67" s="2483" t="s">
        <v>158</v>
      </c>
      <c r="J67" s="2484"/>
      <c r="K67" s="2484"/>
      <c r="L67" s="2484"/>
      <c r="M67" s="2484"/>
      <c r="N67" s="2485"/>
      <c r="O67" s="2488" t="s">
        <v>17</v>
      </c>
      <c r="P67" s="2489"/>
      <c r="Q67" s="2489"/>
      <c r="R67" s="2489"/>
      <c r="S67" s="2489"/>
      <c r="T67" s="2495"/>
      <c r="U67" s="2483" t="s">
        <v>8</v>
      </c>
      <c r="V67" s="2484"/>
      <c r="W67" s="2484"/>
      <c r="X67" s="2484"/>
      <c r="Y67" s="2484"/>
      <c r="Z67" s="2485"/>
    </row>
    <row r="68" spans="3:26" ht="15.75" thickBot="1" x14ac:dyDescent="0.3">
      <c r="C68" s="2486" t="s">
        <v>137</v>
      </c>
      <c r="D68" s="2487"/>
      <c r="E68" s="2487"/>
      <c r="F68" s="2486" t="s">
        <v>134</v>
      </c>
      <c r="G68" s="2487"/>
      <c r="H68" s="2487"/>
      <c r="I68" s="2480" t="s">
        <v>138</v>
      </c>
      <c r="J68" s="2481"/>
      <c r="K68" s="2481"/>
      <c r="L68" s="2481"/>
      <c r="M68" s="2481"/>
      <c r="N68" s="2482"/>
      <c r="O68" s="2486" t="s">
        <v>138</v>
      </c>
      <c r="P68" s="2487"/>
      <c r="Q68" s="2487"/>
      <c r="R68" s="2487"/>
      <c r="S68" s="2487"/>
      <c r="T68" s="2496"/>
      <c r="U68" s="2480" t="s">
        <v>138</v>
      </c>
      <c r="V68" s="2481"/>
      <c r="W68" s="2481"/>
      <c r="X68" s="2481"/>
      <c r="Y68" s="2481"/>
      <c r="Z68" s="2482"/>
    </row>
    <row r="69" spans="3:26" ht="18" thickBot="1" x14ac:dyDescent="0.3">
      <c r="C69" s="82" t="s">
        <v>3</v>
      </c>
      <c r="D69" s="66" t="s">
        <v>4</v>
      </c>
      <c r="E69" s="84" t="s">
        <v>61</v>
      </c>
      <c r="F69" s="82" t="s">
        <v>3</v>
      </c>
      <c r="G69" s="66" t="s">
        <v>4</v>
      </c>
      <c r="H69" s="84" t="s">
        <v>10</v>
      </c>
      <c r="I69" s="86" t="s">
        <v>49</v>
      </c>
      <c r="J69" s="87" t="s">
        <v>50</v>
      </c>
      <c r="K69" s="87" t="s">
        <v>51</v>
      </c>
      <c r="L69" s="87" t="s">
        <v>52</v>
      </c>
      <c r="M69" s="87" t="s">
        <v>68</v>
      </c>
      <c r="N69" s="88" t="s">
        <v>54</v>
      </c>
      <c r="O69" s="82" t="s">
        <v>49</v>
      </c>
      <c r="P69" s="83" t="s">
        <v>50</v>
      </c>
      <c r="Q69" s="83" t="s">
        <v>51</v>
      </c>
      <c r="R69" s="83" t="s">
        <v>52</v>
      </c>
      <c r="S69" s="83" t="s">
        <v>68</v>
      </c>
      <c r="T69" s="85" t="s">
        <v>54</v>
      </c>
      <c r="U69" s="86" t="s">
        <v>49</v>
      </c>
      <c r="V69" s="87" t="s">
        <v>50</v>
      </c>
      <c r="W69" s="87" t="s">
        <v>51</v>
      </c>
      <c r="X69" s="808" t="s">
        <v>52</v>
      </c>
      <c r="Y69" s="87" t="s">
        <v>68</v>
      </c>
      <c r="Z69" s="88" t="s">
        <v>54</v>
      </c>
    </row>
    <row r="70" spans="3:26" ht="15.75" thickTop="1" x14ac:dyDescent="0.25">
      <c r="C70" s="1051">
        <v>82</v>
      </c>
      <c r="D70" s="1052" t="s">
        <v>55</v>
      </c>
      <c r="E70" s="1053">
        <f>C70/0.00001019716</f>
        <v>8041454.6795382239</v>
      </c>
      <c r="F70" s="1051">
        <v>74</v>
      </c>
      <c r="G70" s="1052" t="s">
        <v>25</v>
      </c>
      <c r="H70" s="1053">
        <f>F70*1000</f>
        <v>74000</v>
      </c>
      <c r="I70" s="1051">
        <f>M70*100000</f>
        <v>920.23151219512204</v>
      </c>
      <c r="J70" s="1054">
        <f>M70*10000</f>
        <v>92.023151219512215</v>
      </c>
      <c r="K70" s="1054">
        <f>M70*10</f>
        <v>9.2023151219512211E-2</v>
      </c>
      <c r="L70" s="1054">
        <f>M70*1000</f>
        <v>9.2023151219512211</v>
      </c>
      <c r="M70" s="1054">
        <f>H70/E70</f>
        <v>9.2023151219512208E-3</v>
      </c>
      <c r="N70" s="1055">
        <f>M70*1000000</f>
        <v>9202.3151219512201</v>
      </c>
      <c r="O70" s="1051">
        <v>920.23199999999997</v>
      </c>
      <c r="P70" s="1054">
        <v>92.023200000000003</v>
      </c>
      <c r="Q70" s="1054">
        <v>9.2023199999999999E-2</v>
      </c>
      <c r="R70" s="1054">
        <v>9.2023200000000003</v>
      </c>
      <c r="S70" s="1054">
        <v>9.2023199999999999E-3</v>
      </c>
      <c r="T70" s="1055">
        <v>9202.32</v>
      </c>
      <c r="U70" s="980">
        <f t="shared" ref="U70:Z70" si="14" xml:space="preserve"> (I70-O70)/I70</f>
        <v>-5.3008929977961659E-7</v>
      </c>
      <c r="V70" s="981">
        <f t="shared" si="14"/>
        <v>-5.3008929971784576E-7</v>
      </c>
      <c r="W70" s="981">
        <f t="shared" si="14"/>
        <v>-5.3008929972025875E-7</v>
      </c>
      <c r="X70" s="1058">
        <f t="shared" si="14"/>
        <v>-5.3008929975645257E-7</v>
      </c>
      <c r="Y70" s="981">
        <f t="shared" si="14"/>
        <v>-5.3008929975796061E-7</v>
      </c>
      <c r="Z70" s="982">
        <f t="shared" si="14"/>
        <v>-5.3008929980432497E-7</v>
      </c>
    </row>
    <row r="71" spans="3:26" x14ac:dyDescent="0.25">
      <c r="C71" s="1059">
        <v>61</v>
      </c>
      <c r="D71" s="59" t="s">
        <v>56</v>
      </c>
      <c r="E71" s="32">
        <f>C71/0.000009869233</f>
        <v>6180824.7915516831</v>
      </c>
      <c r="F71" s="1059">
        <v>56</v>
      </c>
      <c r="G71" s="59" t="s">
        <v>25</v>
      </c>
      <c r="H71" s="32">
        <f t="shared" ref="H71:H78" si="15">F71*1000</f>
        <v>56000</v>
      </c>
      <c r="I71" s="1059">
        <f t="shared" ref="I71:I105" si="16">M71*100000</f>
        <v>906.02794754098375</v>
      </c>
      <c r="J71" s="1060">
        <f t="shared" ref="J71:J105" si="17">M71*10000</f>
        <v>90.602794754098369</v>
      </c>
      <c r="K71" s="1060">
        <f t="shared" ref="K71:K105" si="18">M71*10</f>
        <v>9.0602794754098381E-2</v>
      </c>
      <c r="L71" s="1060">
        <f t="shared" ref="L71:L105" si="19">M71*1000</f>
        <v>9.0602794754098372</v>
      </c>
      <c r="M71" s="1060">
        <f t="shared" ref="M71:M105" si="20">H71/E71</f>
        <v>9.0602794754098374E-3</v>
      </c>
      <c r="N71" s="889">
        <f t="shared" ref="N71:N105" si="21">M71*1000000</f>
        <v>9060.2794754098377</v>
      </c>
      <c r="O71" s="1070">
        <v>906.02800000000002</v>
      </c>
      <c r="P71" s="1062">
        <v>90.602800000000002</v>
      </c>
      <c r="Q71" s="1062">
        <v>9.0602000000000002E-2</v>
      </c>
      <c r="R71" s="1062">
        <v>9.0602800000000006</v>
      </c>
      <c r="S71" s="1062">
        <v>9.0602800000000004E-3</v>
      </c>
      <c r="T71" s="1071">
        <v>9060.2800000000007</v>
      </c>
      <c r="U71" s="897">
        <f t="shared" ref="U71:U105" si="22" xml:space="preserve"> (I71-O71)/I71</f>
        <v>-5.7899997915538264E-8</v>
      </c>
      <c r="V71" s="898">
        <f t="shared" ref="V71:V105" si="23" xml:space="preserve"> (J71-P71)/J71</f>
        <v>-5.7899997978277412E-8</v>
      </c>
      <c r="W71" s="898">
        <f t="shared" ref="W71:W105" si="24" xml:space="preserve"> (K71-Q71)/K71</f>
        <v>8.7718497043759059E-6</v>
      </c>
      <c r="X71" s="1063">
        <f t="shared" ref="X71:X105" si="25" xml:space="preserve"> (L71-R71)/L71</f>
        <v>-5.7899997978277412E-8</v>
      </c>
      <c r="Y71" s="898">
        <f t="shared" ref="Y71:Y105" si="26" xml:space="preserve"> (M71-S71)/M71</f>
        <v>-5.7899997941516188E-8</v>
      </c>
      <c r="Z71" s="899">
        <f t="shared" ref="Z71:Z105" si="27" xml:space="preserve"> (N71-T71)/N71</f>
        <v>-5.7899997940633917E-8</v>
      </c>
    </row>
    <row r="72" spans="3:26" s="9" customFormat="1" x14ac:dyDescent="0.25">
      <c r="C72" s="1059">
        <v>76</v>
      </c>
      <c r="D72" s="59" t="s">
        <v>57</v>
      </c>
      <c r="E72" s="32">
        <f>C72*100000</f>
        <v>7600000</v>
      </c>
      <c r="F72" s="1059">
        <v>984</v>
      </c>
      <c r="G72" s="59" t="s">
        <v>25</v>
      </c>
      <c r="H72" s="32">
        <f t="shared" si="15"/>
        <v>984000</v>
      </c>
      <c r="I72" s="1059">
        <f t="shared" si="16"/>
        <v>12947.368421052632</v>
      </c>
      <c r="J72" s="1060">
        <f t="shared" si="17"/>
        <v>1294.7368421052633</v>
      </c>
      <c r="K72" s="1060">
        <f t="shared" si="18"/>
        <v>1.2947368421052632</v>
      </c>
      <c r="L72" s="1060">
        <f t="shared" si="19"/>
        <v>129.47368421052633</v>
      </c>
      <c r="M72" s="1060">
        <f t="shared" si="20"/>
        <v>0.12947368421052632</v>
      </c>
      <c r="N72" s="889">
        <f t="shared" si="21"/>
        <v>129473.68421052632</v>
      </c>
      <c r="O72" s="1070">
        <v>12947.4</v>
      </c>
      <c r="P72" s="1062">
        <v>1294.74</v>
      </c>
      <c r="Q72" s="1062">
        <v>1.29474</v>
      </c>
      <c r="R72" s="1062">
        <v>129.47399999999999</v>
      </c>
      <c r="S72" s="1062">
        <v>0.12947400000000001</v>
      </c>
      <c r="T72" s="1071">
        <v>129474</v>
      </c>
      <c r="U72" s="897">
        <f t="shared" si="22"/>
        <v>-2.4390243902084099E-6</v>
      </c>
      <c r="V72" s="898">
        <f t="shared" si="23"/>
        <v>-2.4390243901030412E-6</v>
      </c>
      <c r="W72" s="898">
        <f t="shared" si="24"/>
        <v>-2.439024390223776E-6</v>
      </c>
      <c r="X72" s="1063">
        <f t="shared" si="25"/>
        <v>-2.4390243900591382E-6</v>
      </c>
      <c r="Y72" s="898">
        <f t="shared" si="26"/>
        <v>-2.439024390223776E-6</v>
      </c>
      <c r="Z72" s="899">
        <f t="shared" si="27"/>
        <v>-2.4390243902084099E-6</v>
      </c>
    </row>
    <row r="73" spans="3:26" s="9" customFormat="1" x14ac:dyDescent="0.25">
      <c r="C73" s="1059">
        <v>45</v>
      </c>
      <c r="D73" s="59" t="s">
        <v>58</v>
      </c>
      <c r="E73" s="32">
        <f>C73*1000</f>
        <v>45000</v>
      </c>
      <c r="F73" s="1059">
        <v>1231</v>
      </c>
      <c r="G73" s="59" t="s">
        <v>25</v>
      </c>
      <c r="H73" s="32">
        <f t="shared" si="15"/>
        <v>1231000</v>
      </c>
      <c r="I73" s="1059">
        <f t="shared" si="16"/>
        <v>2735555.5555555555</v>
      </c>
      <c r="J73" s="1060">
        <f t="shared" si="17"/>
        <v>273555.55555555556</v>
      </c>
      <c r="K73" s="1060">
        <f t="shared" si="18"/>
        <v>273.55555555555554</v>
      </c>
      <c r="L73" s="1060">
        <f t="shared" si="19"/>
        <v>27355.555555555555</v>
      </c>
      <c r="M73" s="1060">
        <f t="shared" si="20"/>
        <v>27.355555555555554</v>
      </c>
      <c r="N73" s="889">
        <f t="shared" si="21"/>
        <v>27355555.555555556</v>
      </c>
      <c r="O73" s="1070">
        <v>2735556</v>
      </c>
      <c r="P73" s="1062">
        <v>273556</v>
      </c>
      <c r="Q73" s="1062">
        <v>273.55599999999998</v>
      </c>
      <c r="R73" s="1062">
        <v>27355.599999999999</v>
      </c>
      <c r="S73" s="1062">
        <v>27.355599999999999</v>
      </c>
      <c r="T73" s="1071">
        <v>27355556</v>
      </c>
      <c r="U73" s="897">
        <f t="shared" si="22"/>
        <v>-1.6246953698073361E-7</v>
      </c>
      <c r="V73" s="898">
        <f t="shared" si="23"/>
        <v>-1.6246953695945542E-6</v>
      </c>
      <c r="W73" s="898">
        <f t="shared" si="24"/>
        <v>-1.6246953696028661E-6</v>
      </c>
      <c r="X73" s="1063">
        <f t="shared" si="25"/>
        <v>-1.6246953695945542E-6</v>
      </c>
      <c r="Y73" s="898">
        <f t="shared" si="26"/>
        <v>-1.6246953696288403E-6</v>
      </c>
      <c r="Z73" s="899">
        <f t="shared" si="27"/>
        <v>-1.6246953681050811E-8</v>
      </c>
    </row>
    <row r="74" spans="3:26" s="9" customFormat="1" x14ac:dyDescent="0.25">
      <c r="C74" s="1059">
        <v>698</v>
      </c>
      <c r="D74" s="59" t="s">
        <v>59</v>
      </c>
      <c r="E74" s="32">
        <f>C74*9.80665</f>
        <v>6845.0416999999998</v>
      </c>
      <c r="F74" s="1059">
        <v>15681</v>
      </c>
      <c r="G74" s="59" t="s">
        <v>25</v>
      </c>
      <c r="H74" s="32">
        <f t="shared" si="15"/>
        <v>15681000</v>
      </c>
      <c r="I74" s="1059">
        <f t="shared" si="16"/>
        <v>229085529.16485518</v>
      </c>
      <c r="J74" s="1060">
        <f t="shared" si="17"/>
        <v>22908552.916485518</v>
      </c>
      <c r="K74" s="1060">
        <f t="shared" si="18"/>
        <v>22908.552916485518</v>
      </c>
      <c r="L74" s="1060">
        <f t="shared" si="19"/>
        <v>2290855.2916485518</v>
      </c>
      <c r="M74" s="1060">
        <f t="shared" si="20"/>
        <v>2290.8552916485519</v>
      </c>
      <c r="N74" s="889">
        <f t="shared" si="21"/>
        <v>2290855291.6485519</v>
      </c>
      <c r="O74" s="1070">
        <v>229085529</v>
      </c>
      <c r="P74" s="1062">
        <v>22908553</v>
      </c>
      <c r="Q74" s="1062">
        <v>22908.6</v>
      </c>
      <c r="R74" s="1062">
        <v>2290855</v>
      </c>
      <c r="S74" s="1062">
        <v>2290.86</v>
      </c>
      <c r="T74" s="1071">
        <v>2290855292</v>
      </c>
      <c r="U74" s="897">
        <f t="shared" si="22"/>
        <v>7.196228534026449E-10</v>
      </c>
      <c r="V74" s="898">
        <f t="shared" si="23"/>
        <v>-3.6455590227532129E-9</v>
      </c>
      <c r="W74" s="898">
        <f t="shared" si="24"/>
        <v>-2.0552810407651891E-6</v>
      </c>
      <c r="X74" s="1063">
        <f t="shared" si="25"/>
        <v>1.2730989726192251E-7</v>
      </c>
      <c r="Y74" s="898">
        <f t="shared" si="26"/>
        <v>-2.0552810408445912E-6</v>
      </c>
      <c r="Z74" s="899">
        <f t="shared" si="27"/>
        <v>-1.5341346979150358E-10</v>
      </c>
    </row>
    <row r="75" spans="3:26" s="9" customFormat="1" x14ac:dyDescent="0.25">
      <c r="C75" s="1059">
        <v>47</v>
      </c>
      <c r="D75" s="59" t="s">
        <v>67</v>
      </c>
      <c r="E75" s="32">
        <f>C75*1000000</f>
        <v>47000000</v>
      </c>
      <c r="F75" s="1059">
        <v>1841</v>
      </c>
      <c r="G75" s="59" t="s">
        <v>25</v>
      </c>
      <c r="H75" s="32">
        <f t="shared" si="15"/>
        <v>1841000</v>
      </c>
      <c r="I75" s="1059">
        <f t="shared" si="16"/>
        <v>3917.0212765957444</v>
      </c>
      <c r="J75" s="1060">
        <f t="shared" si="17"/>
        <v>391.70212765957444</v>
      </c>
      <c r="K75" s="1060">
        <f t="shared" si="18"/>
        <v>0.39170212765957446</v>
      </c>
      <c r="L75" s="1060">
        <f t="shared" si="19"/>
        <v>39.170212765957444</v>
      </c>
      <c r="M75" s="1060">
        <f t="shared" si="20"/>
        <v>3.9170212765957446E-2</v>
      </c>
      <c r="N75" s="889">
        <f t="shared" si="21"/>
        <v>39170.212765957447</v>
      </c>
      <c r="O75" s="1070">
        <v>3917.02</v>
      </c>
      <c r="P75" s="1062">
        <v>391.702</v>
      </c>
      <c r="Q75" s="1062">
        <v>0.39170199999999999</v>
      </c>
      <c r="R75" s="1062">
        <v>39.170200000000001</v>
      </c>
      <c r="S75" s="1062">
        <v>3.9170200000000002E-2</v>
      </c>
      <c r="T75" s="1071">
        <v>39170.199999999997</v>
      </c>
      <c r="U75" s="897">
        <f t="shared" si="22"/>
        <v>3.2590983155614474E-7</v>
      </c>
      <c r="V75" s="898">
        <f t="shared" si="23"/>
        <v>3.2590983155614474E-7</v>
      </c>
      <c r="W75" s="898">
        <f t="shared" si="24"/>
        <v>3.2590983161056433E-7</v>
      </c>
      <c r="X75" s="1063">
        <f t="shared" si="25"/>
        <v>3.25909831519865E-7</v>
      </c>
      <c r="Y75" s="898">
        <f t="shared" si="26"/>
        <v>3.2590983153970547E-7</v>
      </c>
      <c r="Z75" s="899">
        <f t="shared" si="27"/>
        <v>3.2590983169545895E-7</v>
      </c>
    </row>
    <row r="76" spans="3:26" s="9" customFormat="1" x14ac:dyDescent="0.25">
      <c r="C76" s="1059">
        <v>45</v>
      </c>
      <c r="D76" s="59" t="s">
        <v>61</v>
      </c>
      <c r="E76" s="32">
        <f>C76</f>
        <v>45</v>
      </c>
      <c r="F76" s="1059">
        <v>984</v>
      </c>
      <c r="G76" s="59" t="s">
        <v>25</v>
      </c>
      <c r="H76" s="32">
        <f t="shared" si="15"/>
        <v>984000</v>
      </c>
      <c r="I76" s="1059">
        <f t="shared" si="16"/>
        <v>2186666666.666667</v>
      </c>
      <c r="J76" s="1060">
        <f t="shared" si="17"/>
        <v>218666666.66666669</v>
      </c>
      <c r="K76" s="1060">
        <f t="shared" si="18"/>
        <v>218666.66666666669</v>
      </c>
      <c r="L76" s="1060">
        <f t="shared" si="19"/>
        <v>21866666.666666668</v>
      </c>
      <c r="M76" s="1060">
        <f t="shared" si="20"/>
        <v>21866.666666666668</v>
      </c>
      <c r="N76" s="889">
        <f t="shared" si="21"/>
        <v>21866666666.666668</v>
      </c>
      <c r="O76" s="1070">
        <v>2186666667</v>
      </c>
      <c r="P76" s="1062">
        <v>218666667</v>
      </c>
      <c r="Q76" s="1062">
        <v>218667</v>
      </c>
      <c r="R76" s="1062">
        <v>21866667</v>
      </c>
      <c r="S76" s="1062">
        <v>21866.7</v>
      </c>
      <c r="T76" s="1071">
        <v>21866666667</v>
      </c>
      <c r="U76" s="897">
        <f t="shared" si="22"/>
        <v>-1.5243887901306149E-10</v>
      </c>
      <c r="V76" s="898">
        <f t="shared" si="23"/>
        <v>-1.5243901530416999E-9</v>
      </c>
      <c r="W76" s="898">
        <f t="shared" si="24"/>
        <v>-1.5243902438137077E-6</v>
      </c>
      <c r="X76" s="1063">
        <f t="shared" si="25"/>
        <v>-1.5243902382236428E-8</v>
      </c>
      <c r="Y76" s="898">
        <f t="shared" si="26"/>
        <v>-1.5243902438802562E-6</v>
      </c>
      <c r="Z76" s="899">
        <f t="shared" si="27"/>
        <v>-1.5243844288151439E-11</v>
      </c>
    </row>
    <row r="77" spans="3:26" s="9" customFormat="1" x14ac:dyDescent="0.25">
      <c r="C77" s="1059">
        <v>8</v>
      </c>
      <c r="D77" s="59" t="s">
        <v>66</v>
      </c>
      <c r="E77" s="32">
        <f>C77/0.0001450377</f>
        <v>55158.072694202951</v>
      </c>
      <c r="F77" s="1059">
        <v>948</v>
      </c>
      <c r="G77" s="59" t="s">
        <v>25</v>
      </c>
      <c r="H77" s="32">
        <f t="shared" si="15"/>
        <v>948000</v>
      </c>
      <c r="I77" s="1059">
        <f t="shared" si="16"/>
        <v>1718696.7450000001</v>
      </c>
      <c r="J77" s="1060">
        <f t="shared" si="17"/>
        <v>171869.67450000002</v>
      </c>
      <c r="K77" s="1060">
        <f t="shared" si="18"/>
        <v>171.8696745</v>
      </c>
      <c r="L77" s="1060">
        <f t="shared" si="19"/>
        <v>17186.96745</v>
      </c>
      <c r="M77" s="1060">
        <f t="shared" si="20"/>
        <v>17.186967450000001</v>
      </c>
      <c r="N77" s="889">
        <f t="shared" si="21"/>
        <v>17186967.449999999</v>
      </c>
      <c r="O77" s="1070">
        <v>1718697</v>
      </c>
      <c r="P77" s="1062">
        <v>171870</v>
      </c>
      <c r="Q77" s="1062">
        <v>171.87</v>
      </c>
      <c r="R77" s="1062">
        <v>17187</v>
      </c>
      <c r="S77" s="1062">
        <v>17.187000000000001</v>
      </c>
      <c r="T77" s="1071">
        <v>17186967</v>
      </c>
      <c r="U77" s="897">
        <f t="shared" si="22"/>
        <v>-1.4836823344786242E-7</v>
      </c>
      <c r="V77" s="898">
        <f t="shared" si="23"/>
        <v>-1.8938768629435122E-6</v>
      </c>
      <c r="W77" s="898">
        <f t="shared" si="24"/>
        <v>-1.893876863090359E-6</v>
      </c>
      <c r="X77" s="1063">
        <f t="shared" si="25"/>
        <v>-1.8938768630705149E-6</v>
      </c>
      <c r="Y77" s="898">
        <f t="shared" si="26"/>
        <v>-1.893876863090359E-6</v>
      </c>
      <c r="Z77" s="899">
        <f t="shared" si="27"/>
        <v>2.6182629400100596E-8</v>
      </c>
    </row>
    <row r="78" spans="3:26" s="9" customFormat="1" ht="15.75" thickBot="1" x14ac:dyDescent="0.3">
      <c r="C78" s="1072">
        <v>41</v>
      </c>
      <c r="D78" s="60" t="s">
        <v>63</v>
      </c>
      <c r="E78" s="55">
        <f>C78/0.007500616</f>
        <v>5466.2177079855846</v>
      </c>
      <c r="F78" s="1072">
        <v>21982</v>
      </c>
      <c r="G78" s="60" t="s">
        <v>25</v>
      </c>
      <c r="H78" s="55">
        <f t="shared" si="15"/>
        <v>21982000</v>
      </c>
      <c r="I78" s="1072">
        <f t="shared" si="16"/>
        <v>402142782.7121951</v>
      </c>
      <c r="J78" s="1073">
        <f t="shared" si="17"/>
        <v>40214278.271219507</v>
      </c>
      <c r="K78" s="1073">
        <f t="shared" si="18"/>
        <v>40214.278271219511</v>
      </c>
      <c r="L78" s="1073">
        <f t="shared" si="19"/>
        <v>4021427.8271219512</v>
      </c>
      <c r="M78" s="1073">
        <f t="shared" si="20"/>
        <v>4021.4278271219509</v>
      </c>
      <c r="N78" s="905">
        <f t="shared" si="21"/>
        <v>4021427827.1219511</v>
      </c>
      <c r="O78" s="1074">
        <v>402142783</v>
      </c>
      <c r="P78" s="1075">
        <v>40214278</v>
      </c>
      <c r="Q78" s="1075">
        <v>40214.300000000003</v>
      </c>
      <c r="R78" s="1075">
        <v>4021428</v>
      </c>
      <c r="S78" s="1075">
        <v>4021.43</v>
      </c>
      <c r="T78" s="1076">
        <v>4021427827</v>
      </c>
      <c r="U78" s="945">
        <f t="shared" si="22"/>
        <v>-7.1567839576486883E-10</v>
      </c>
      <c r="V78" s="946">
        <f t="shared" si="23"/>
        <v>6.7443584348468916E-9</v>
      </c>
      <c r="W78" s="946">
        <f t="shared" si="24"/>
        <v>-5.4032501454180879E-7</v>
      </c>
      <c r="X78" s="1077">
        <f t="shared" si="25"/>
        <v>-4.2989220814161881E-8</v>
      </c>
      <c r="Y78" s="946">
        <f t="shared" si="26"/>
        <v>-5.4032501447396018E-7</v>
      </c>
      <c r="Z78" s="947">
        <f t="shared" si="27"/>
        <v>3.0325324350711269E-11</v>
      </c>
    </row>
    <row r="79" spans="3:26" s="9" customFormat="1" ht="15.75" thickTop="1" x14ac:dyDescent="0.25">
      <c r="C79" s="1455">
        <v>8</v>
      </c>
      <c r="D79" s="1256" t="s">
        <v>55</v>
      </c>
      <c r="E79" s="1257">
        <f>C79/0.00001019716</f>
        <v>784532.16385738773</v>
      </c>
      <c r="F79" s="1455">
        <v>2</v>
      </c>
      <c r="G79" s="1256" t="s">
        <v>10</v>
      </c>
      <c r="H79" s="1257">
        <f>F79</f>
        <v>2</v>
      </c>
      <c r="I79" s="1455">
        <f t="shared" si="16"/>
        <v>0.25492900000000002</v>
      </c>
      <c r="J79" s="1456">
        <f t="shared" si="17"/>
        <v>2.5492899999999999E-2</v>
      </c>
      <c r="K79" s="1456">
        <f t="shared" si="18"/>
        <v>2.5492900000000001E-5</v>
      </c>
      <c r="L79" s="1456">
        <f t="shared" si="19"/>
        <v>2.5492900000000001E-3</v>
      </c>
      <c r="M79" s="1456">
        <f t="shared" si="20"/>
        <v>2.54929E-6</v>
      </c>
      <c r="N79" s="1258">
        <f t="shared" si="21"/>
        <v>2.5492900000000001</v>
      </c>
      <c r="O79" s="1457">
        <v>0.25492900000000002</v>
      </c>
      <c r="P79" s="1458">
        <v>2.5492899999999999E-2</v>
      </c>
      <c r="Q79" s="1459">
        <v>2.5492900000000001E-5</v>
      </c>
      <c r="R79" s="1458">
        <v>2.5492900000000001E-3</v>
      </c>
      <c r="S79" s="1459">
        <v>2.54929E-6</v>
      </c>
      <c r="T79" s="1460">
        <v>2.5492900000000001</v>
      </c>
      <c r="U79" s="1319">
        <f t="shared" si="22"/>
        <v>0</v>
      </c>
      <c r="V79" s="1320">
        <f t="shared" si="23"/>
        <v>0</v>
      </c>
      <c r="W79" s="1320">
        <f t="shared" si="24"/>
        <v>0</v>
      </c>
      <c r="X79" s="1461">
        <f t="shared" si="25"/>
        <v>0</v>
      </c>
      <c r="Y79" s="1320">
        <f t="shared" si="26"/>
        <v>0</v>
      </c>
      <c r="Z79" s="1321">
        <f t="shared" si="27"/>
        <v>0</v>
      </c>
    </row>
    <row r="80" spans="3:26" s="9" customFormat="1" x14ac:dyDescent="0.25">
      <c r="C80" s="1435">
        <v>685</v>
      </c>
      <c r="D80" s="1269" t="s">
        <v>56</v>
      </c>
      <c r="E80" s="1254">
        <f>C80/0.000009869233</f>
        <v>69407622.659227923</v>
      </c>
      <c r="F80" s="1435">
        <v>8</v>
      </c>
      <c r="G80" s="1269" t="s">
        <v>10</v>
      </c>
      <c r="H80" s="1270">
        <f t="shared" ref="H80:H87" si="28">F80</f>
        <v>8</v>
      </c>
      <c r="I80" s="1435">
        <f t="shared" si="16"/>
        <v>1.1526111532846715E-2</v>
      </c>
      <c r="J80" s="1446">
        <f t="shared" si="17"/>
        <v>1.1526111532846716E-3</v>
      </c>
      <c r="K80" s="1446">
        <f t="shared" si="18"/>
        <v>1.1526111532846716E-6</v>
      </c>
      <c r="L80" s="1446">
        <f t="shared" si="19"/>
        <v>1.1526111532846716E-4</v>
      </c>
      <c r="M80" s="1446">
        <f t="shared" si="20"/>
        <v>1.1526111532846716E-7</v>
      </c>
      <c r="N80" s="1270">
        <f t="shared" si="21"/>
        <v>0.11526111532846715</v>
      </c>
      <c r="O80" s="1462">
        <v>1.1526099999999999E-2</v>
      </c>
      <c r="P80" s="1448">
        <v>1.1526100000000001E-3</v>
      </c>
      <c r="Q80" s="1463">
        <v>1.1526111532846701E-6</v>
      </c>
      <c r="R80" s="1448">
        <v>1.1526100000000001E-4</v>
      </c>
      <c r="S80" s="1463">
        <v>1.15261115328467E-7</v>
      </c>
      <c r="T80" s="1464">
        <v>0.115261</v>
      </c>
      <c r="U80" s="1277">
        <f t="shared" si="22"/>
        <v>1.0005843412976879E-6</v>
      </c>
      <c r="V80" s="1278">
        <f t="shared" si="23"/>
        <v>1.0005843412600618E-6</v>
      </c>
      <c r="W80" s="1278">
        <f t="shared" si="24"/>
        <v>1.2860431321272541E-15</v>
      </c>
      <c r="X80" s="1449">
        <f t="shared" si="25"/>
        <v>1.0005843412600618E-6</v>
      </c>
      <c r="Y80" s="1278">
        <f t="shared" si="26"/>
        <v>1.3779033558506295E-15</v>
      </c>
      <c r="Z80" s="1279">
        <f t="shared" si="27"/>
        <v>1.0005843412374863E-6</v>
      </c>
    </row>
    <row r="81" spans="3:26" s="9" customFormat="1" x14ac:dyDescent="0.25">
      <c r="C81" s="1435">
        <v>142</v>
      </c>
      <c r="D81" s="1269" t="s">
        <v>57</v>
      </c>
      <c r="E81" s="1254">
        <f>C81*100000</f>
        <v>14200000</v>
      </c>
      <c r="F81" s="1435">
        <v>36</v>
      </c>
      <c r="G81" s="1269" t="s">
        <v>10</v>
      </c>
      <c r="H81" s="1270">
        <f t="shared" si="28"/>
        <v>36</v>
      </c>
      <c r="I81" s="1435">
        <f t="shared" si="16"/>
        <v>0.25352112676056338</v>
      </c>
      <c r="J81" s="1446">
        <f t="shared" si="17"/>
        <v>2.5352112676056339E-2</v>
      </c>
      <c r="K81" s="1446">
        <f t="shared" si="18"/>
        <v>2.5352112676056338E-5</v>
      </c>
      <c r="L81" s="1446">
        <f t="shared" si="19"/>
        <v>2.5352112676056337E-3</v>
      </c>
      <c r="M81" s="1446">
        <f t="shared" si="20"/>
        <v>2.5352112676056338E-6</v>
      </c>
      <c r="N81" s="1270">
        <f t="shared" si="21"/>
        <v>2.535211267605634</v>
      </c>
      <c r="O81" s="1462">
        <v>0.253521</v>
      </c>
      <c r="P81" s="1448">
        <v>2.5352099999999999E-2</v>
      </c>
      <c r="Q81" s="1463">
        <v>2.5352112676056301E-5</v>
      </c>
      <c r="R81" s="1448">
        <v>2.53521E-3</v>
      </c>
      <c r="S81" s="1463">
        <v>2.53521126760563E-6</v>
      </c>
      <c r="T81" s="1464">
        <v>2.5352100000000002</v>
      </c>
      <c r="U81" s="1277">
        <f t="shared" si="22"/>
        <v>4.9999999999587408E-7</v>
      </c>
      <c r="V81" s="1278">
        <f t="shared" si="23"/>
        <v>5.0000000007798429E-7</v>
      </c>
      <c r="W81" s="1278">
        <f t="shared" si="24"/>
        <v>1.4700727373457968E-15</v>
      </c>
      <c r="X81" s="1449">
        <f t="shared" si="25"/>
        <v>4.9999999997534655E-7</v>
      </c>
      <c r="Y81" s="1278">
        <f t="shared" si="26"/>
        <v>1.5034834813763831E-15</v>
      </c>
      <c r="Z81" s="1279">
        <f t="shared" si="27"/>
        <v>4.9999999999587408E-7</v>
      </c>
    </row>
    <row r="82" spans="3:26" s="9" customFormat="1" x14ac:dyDescent="0.25">
      <c r="C82" s="1435">
        <v>1125</v>
      </c>
      <c r="D82" s="1269" t="s">
        <v>58</v>
      </c>
      <c r="E82" s="1254">
        <f>C82*1000</f>
        <v>1125000</v>
      </c>
      <c r="F82" s="1435">
        <v>982</v>
      </c>
      <c r="G82" s="1269" t="s">
        <v>10</v>
      </c>
      <c r="H82" s="1270">
        <f t="shared" si="28"/>
        <v>982</v>
      </c>
      <c r="I82" s="1435">
        <f t="shared" si="16"/>
        <v>87.288888888888891</v>
      </c>
      <c r="J82" s="1446">
        <f t="shared" si="17"/>
        <v>8.7288888888888891</v>
      </c>
      <c r="K82" s="1446">
        <f t="shared" si="18"/>
        <v>8.7288888888888885E-3</v>
      </c>
      <c r="L82" s="1446">
        <f t="shared" si="19"/>
        <v>0.87288888888888883</v>
      </c>
      <c r="M82" s="1446">
        <f t="shared" si="20"/>
        <v>8.7288888888888887E-4</v>
      </c>
      <c r="N82" s="1270">
        <f t="shared" si="21"/>
        <v>872.88888888888891</v>
      </c>
      <c r="O82" s="1462">
        <v>87.288899999999998</v>
      </c>
      <c r="P82" s="1448">
        <v>8.7288899999999998</v>
      </c>
      <c r="Q82" s="1448">
        <v>8.7288899999999996E-3</v>
      </c>
      <c r="R82" s="1448">
        <v>0.87288900000000003</v>
      </c>
      <c r="S82" s="1448">
        <v>8.7288899999999996E-4</v>
      </c>
      <c r="T82" s="1464">
        <v>872.88900000000001</v>
      </c>
      <c r="U82" s="1277">
        <f t="shared" si="22"/>
        <v>-1.2729124231248356E-7</v>
      </c>
      <c r="V82" s="1278">
        <f t="shared" si="23"/>
        <v>-1.2729124231248356E-7</v>
      </c>
      <c r="W82" s="1278">
        <f t="shared" si="24"/>
        <v>-1.2729124236176949E-7</v>
      </c>
      <c r="X82" s="1449">
        <f t="shared" si="25"/>
        <v>-1.2729124246511098E-7</v>
      </c>
      <c r="Y82" s="1278">
        <f t="shared" si="26"/>
        <v>-1.2729124233692779E-7</v>
      </c>
      <c r="Z82" s="1279">
        <f t="shared" si="27"/>
        <v>-1.2729124234504409E-7</v>
      </c>
    </row>
    <row r="83" spans="3:26" s="9" customFormat="1" x14ac:dyDescent="0.25">
      <c r="C83" s="1435">
        <v>874</v>
      </c>
      <c r="D83" s="1269" t="s">
        <v>59</v>
      </c>
      <c r="E83" s="1254">
        <f>C83*9.80665</f>
        <v>8571.0120999999999</v>
      </c>
      <c r="F83" s="1435">
        <v>29</v>
      </c>
      <c r="G83" s="1269" t="s">
        <v>10</v>
      </c>
      <c r="H83" s="1270">
        <f t="shared" si="28"/>
        <v>29</v>
      </c>
      <c r="I83" s="1435">
        <f t="shared" si="16"/>
        <v>338.34977318489609</v>
      </c>
      <c r="J83" s="1446">
        <f t="shared" si="17"/>
        <v>33.834977318489607</v>
      </c>
      <c r="K83" s="1446">
        <f t="shared" si="18"/>
        <v>3.3834977318489612E-2</v>
      </c>
      <c r="L83" s="1446">
        <f t="shared" si="19"/>
        <v>3.3834977318489607</v>
      </c>
      <c r="M83" s="1446">
        <f t="shared" si="20"/>
        <v>3.3834977318489608E-3</v>
      </c>
      <c r="N83" s="1270">
        <f t="shared" si="21"/>
        <v>3383.4977318489609</v>
      </c>
      <c r="O83" s="1462">
        <v>338.35</v>
      </c>
      <c r="P83" s="1448">
        <v>33.835000000000001</v>
      </c>
      <c r="Q83" s="1448">
        <v>3.3834999999999997E-2</v>
      </c>
      <c r="R83" s="1448">
        <v>3.3835000000000002</v>
      </c>
      <c r="S83" s="1448">
        <v>3.3834999999999998E-3</v>
      </c>
      <c r="T83" s="1464">
        <v>3383.5</v>
      </c>
      <c r="U83" s="1277">
        <f t="shared" si="22"/>
        <v>-6.7035689663344469E-7</v>
      </c>
      <c r="V83" s="1278">
        <f t="shared" si="23"/>
        <v>-6.7035689667544524E-7</v>
      </c>
      <c r="W83" s="1278">
        <f t="shared" si="24"/>
        <v>-6.7035689640473891E-7</v>
      </c>
      <c r="X83" s="1449">
        <f t="shared" si="25"/>
        <v>-6.7035689667544524E-7</v>
      </c>
      <c r="Y83" s="1278">
        <f t="shared" si="26"/>
        <v>-6.7035689653291426E-7</v>
      </c>
      <c r="Z83" s="1279">
        <f t="shared" si="27"/>
        <v>-6.7035689656624395E-7</v>
      </c>
    </row>
    <row r="84" spans="3:26" s="9" customFormat="1" x14ac:dyDescent="0.25">
      <c r="C84" s="1435">
        <v>0.5</v>
      </c>
      <c r="D84" s="1269" t="s">
        <v>67</v>
      </c>
      <c r="E84" s="1254">
        <f>C84*1000000</f>
        <v>500000</v>
      </c>
      <c r="F84" s="1435">
        <v>216</v>
      </c>
      <c r="G84" s="1269" t="s">
        <v>10</v>
      </c>
      <c r="H84" s="1270">
        <f t="shared" si="28"/>
        <v>216</v>
      </c>
      <c r="I84" s="1418">
        <f t="shared" si="16"/>
        <v>43.199999999999996</v>
      </c>
      <c r="J84" s="1419">
        <f t="shared" si="17"/>
        <v>4.3199999999999994</v>
      </c>
      <c r="K84" s="1419">
        <f t="shared" si="18"/>
        <v>4.3200000000000001E-3</v>
      </c>
      <c r="L84" s="1419">
        <f t="shared" si="19"/>
        <v>0.432</v>
      </c>
      <c r="M84" s="1419">
        <f t="shared" si="20"/>
        <v>4.3199999999999998E-4</v>
      </c>
      <c r="N84" s="1420">
        <f t="shared" si="21"/>
        <v>432</v>
      </c>
      <c r="O84" s="2331">
        <v>43.2</v>
      </c>
      <c r="P84" s="2332">
        <v>4.32</v>
      </c>
      <c r="Q84" s="2332">
        <v>4.3200000000000001E-3</v>
      </c>
      <c r="R84" s="2332">
        <v>0.432</v>
      </c>
      <c r="S84" s="2332">
        <v>4.3199999999999998E-4</v>
      </c>
      <c r="T84" s="2333">
        <v>432</v>
      </c>
      <c r="U84" s="1277">
        <f t="shared" si="22"/>
        <v>-1.6447748512965284E-16</v>
      </c>
      <c r="V84" s="1278">
        <f t="shared" si="23"/>
        <v>-2.0559685641206605E-16</v>
      </c>
      <c r="W84" s="1278">
        <f t="shared" si="24"/>
        <v>0</v>
      </c>
      <c r="X84" s="1449">
        <f t="shared" si="25"/>
        <v>0</v>
      </c>
      <c r="Y84" s="1278">
        <f t="shared" si="26"/>
        <v>0</v>
      </c>
      <c r="Z84" s="1279">
        <f t="shared" si="27"/>
        <v>0</v>
      </c>
    </row>
    <row r="85" spans="3:26" s="9" customFormat="1" x14ac:dyDescent="0.25">
      <c r="C85" s="1435">
        <v>0.9</v>
      </c>
      <c r="D85" s="1269" t="s">
        <v>61</v>
      </c>
      <c r="E85" s="1254">
        <f>C85</f>
        <v>0.9</v>
      </c>
      <c r="F85" s="1435">
        <v>5165</v>
      </c>
      <c r="G85" s="1269" t="s">
        <v>10</v>
      </c>
      <c r="H85" s="1270">
        <f t="shared" si="28"/>
        <v>5165</v>
      </c>
      <c r="I85" s="1435">
        <f t="shared" si="16"/>
        <v>573888888.88888884</v>
      </c>
      <c r="J85" s="1446">
        <f t="shared" si="17"/>
        <v>57388888.888888888</v>
      </c>
      <c r="K85" s="1446">
        <f t="shared" si="18"/>
        <v>57388.888888888891</v>
      </c>
      <c r="L85" s="1446">
        <f t="shared" si="19"/>
        <v>5738888.888888889</v>
      </c>
      <c r="M85" s="1446">
        <f t="shared" si="20"/>
        <v>5738.8888888888887</v>
      </c>
      <c r="N85" s="1270">
        <f t="shared" si="21"/>
        <v>5738888888.8888884</v>
      </c>
      <c r="O85" s="1462">
        <v>573888889</v>
      </c>
      <c r="P85" s="1448">
        <v>57388889</v>
      </c>
      <c r="Q85" s="1448">
        <v>57388.9</v>
      </c>
      <c r="R85" s="1448">
        <v>5738889</v>
      </c>
      <c r="S85" s="1448">
        <v>5738.89</v>
      </c>
      <c r="T85" s="1464">
        <v>5738888889</v>
      </c>
      <c r="U85" s="1277">
        <f t="shared" si="22"/>
        <v>-1.936109345280074E-10</v>
      </c>
      <c r="V85" s="1278">
        <f t="shared" si="23"/>
        <v>-1.936108436496768E-9</v>
      </c>
      <c r="W85" s="1278">
        <f t="shared" si="24"/>
        <v>-1.9361084220434618E-7</v>
      </c>
      <c r="X85" s="1449">
        <f t="shared" si="25"/>
        <v>-1.9361084202684946E-8</v>
      </c>
      <c r="Y85" s="1278">
        <f t="shared" si="26"/>
        <v>-1.9361084229943373E-7</v>
      </c>
      <c r="Z85" s="1279">
        <f t="shared" si="27"/>
        <v>-1.9361176541560157E-11</v>
      </c>
    </row>
    <row r="86" spans="3:26" s="9" customFormat="1" x14ac:dyDescent="0.25">
      <c r="C86" s="1435">
        <v>23</v>
      </c>
      <c r="D86" s="1269" t="s">
        <v>66</v>
      </c>
      <c r="E86" s="1254">
        <f>C86/0.0001450377</f>
        <v>158579.4589958335</v>
      </c>
      <c r="F86" s="1435">
        <v>5618</v>
      </c>
      <c r="G86" s="1269" t="s">
        <v>10</v>
      </c>
      <c r="H86" s="1270">
        <f t="shared" si="28"/>
        <v>5618</v>
      </c>
      <c r="I86" s="1435">
        <f t="shared" si="16"/>
        <v>3542.7034721739128</v>
      </c>
      <c r="J86" s="1446">
        <f t="shared" si="17"/>
        <v>354.2703472173913</v>
      </c>
      <c r="K86" s="1446">
        <f t="shared" si="18"/>
        <v>0.35427034721739131</v>
      </c>
      <c r="L86" s="1446">
        <f t="shared" si="19"/>
        <v>35.427034721739133</v>
      </c>
      <c r="M86" s="1446">
        <f t="shared" si="20"/>
        <v>3.542703472173913E-2</v>
      </c>
      <c r="N86" s="1270">
        <f t="shared" si="21"/>
        <v>35427.034721739132</v>
      </c>
      <c r="O86" s="1462">
        <v>3542.7</v>
      </c>
      <c r="P86" s="1448">
        <v>354.27</v>
      </c>
      <c r="Q86" s="1448">
        <v>0.35426999999999997</v>
      </c>
      <c r="R86" s="1448">
        <v>35.427</v>
      </c>
      <c r="S86" s="1448">
        <v>3.5427E-2</v>
      </c>
      <c r="T86" s="1464">
        <v>35427</v>
      </c>
      <c r="U86" s="1277">
        <f t="shared" si="22"/>
        <v>9.8009159961269182E-7</v>
      </c>
      <c r="V86" s="1278">
        <f t="shared" si="23"/>
        <v>9.8009159967687278E-7</v>
      </c>
      <c r="W86" s="1278">
        <f t="shared" si="24"/>
        <v>9.8009159972325334E-7</v>
      </c>
      <c r="X86" s="1449">
        <f t="shared" si="25"/>
        <v>9.8009159971698572E-7</v>
      </c>
      <c r="Y86" s="1278">
        <f t="shared" si="26"/>
        <v>9.8009159960573471E-7</v>
      </c>
      <c r="Z86" s="1279">
        <f t="shared" si="27"/>
        <v>9.8009159966403642E-7</v>
      </c>
    </row>
    <row r="87" spans="3:26" s="9" customFormat="1" ht="15.75" thickBot="1" x14ac:dyDescent="0.3">
      <c r="C87" s="1465">
        <v>4125</v>
      </c>
      <c r="D87" s="1287" t="s">
        <v>63</v>
      </c>
      <c r="E87" s="1309">
        <f>C87/0.007500616</f>
        <v>549954.8303765984</v>
      </c>
      <c r="F87" s="1465">
        <v>841651</v>
      </c>
      <c r="G87" s="1287" t="s">
        <v>10</v>
      </c>
      <c r="H87" s="1309">
        <f t="shared" si="28"/>
        <v>841651</v>
      </c>
      <c r="I87" s="1465">
        <f t="shared" si="16"/>
        <v>153040.02320038786</v>
      </c>
      <c r="J87" s="1466">
        <f t="shared" si="17"/>
        <v>15304.002320038788</v>
      </c>
      <c r="K87" s="1466">
        <f t="shared" si="18"/>
        <v>15.304002320038787</v>
      </c>
      <c r="L87" s="1466">
        <f t="shared" si="19"/>
        <v>1530.4002320038787</v>
      </c>
      <c r="M87" s="1466">
        <f t="shared" si="20"/>
        <v>1.5304002320038788</v>
      </c>
      <c r="N87" s="1289">
        <f t="shared" si="21"/>
        <v>1530400.2320038788</v>
      </c>
      <c r="O87" s="1467">
        <v>153040</v>
      </c>
      <c r="P87" s="1468">
        <v>15304</v>
      </c>
      <c r="Q87" s="1468">
        <v>15.304</v>
      </c>
      <c r="R87" s="1468">
        <v>1530.4</v>
      </c>
      <c r="S87" s="1468">
        <v>1.5304</v>
      </c>
      <c r="T87" s="1469">
        <v>1530400</v>
      </c>
      <c r="U87" s="1329">
        <f t="shared" si="22"/>
        <v>1.5159686582356068E-7</v>
      </c>
      <c r="V87" s="1330">
        <f t="shared" si="23"/>
        <v>1.5159686591864634E-7</v>
      </c>
      <c r="W87" s="1330">
        <f t="shared" si="24"/>
        <v>1.515968658620035E-7</v>
      </c>
      <c r="X87" s="1470">
        <f t="shared" si="25"/>
        <v>1.5159686582950351E-7</v>
      </c>
      <c r="Y87" s="1330">
        <f t="shared" si="26"/>
        <v>1.5159686592003918E-7</v>
      </c>
      <c r="Z87" s="1331">
        <f t="shared" si="27"/>
        <v>1.5159686593766348E-7</v>
      </c>
    </row>
    <row r="88" spans="3:26" s="9" customFormat="1" ht="15.75" thickTop="1" x14ac:dyDescent="0.25">
      <c r="C88" s="311">
        <v>4589</v>
      </c>
      <c r="D88" s="146" t="s">
        <v>55</v>
      </c>
      <c r="E88" s="147">
        <f>C88/0.00001019716</f>
        <v>450027262.49269402</v>
      </c>
      <c r="F88" s="311">
        <v>51989</v>
      </c>
      <c r="G88" s="146" t="s">
        <v>11</v>
      </c>
      <c r="H88" s="147">
        <f>F88*4.187*1000</f>
        <v>217677943.00000003</v>
      </c>
      <c r="I88" s="311">
        <f t="shared" si="16"/>
        <v>48369.94581045719</v>
      </c>
      <c r="J88" s="116">
        <f t="shared" si="17"/>
        <v>4836.9945810457184</v>
      </c>
      <c r="K88" s="116">
        <f t="shared" si="18"/>
        <v>4.8369945810457189</v>
      </c>
      <c r="L88" s="116">
        <f t="shared" si="19"/>
        <v>483.69945810457187</v>
      </c>
      <c r="M88" s="116">
        <f t="shared" si="20"/>
        <v>0.48369945810457188</v>
      </c>
      <c r="N88" s="115">
        <f t="shared" si="21"/>
        <v>483699.45810457185</v>
      </c>
      <c r="O88" s="651">
        <v>48369.9</v>
      </c>
      <c r="P88" s="652">
        <v>4836.99</v>
      </c>
      <c r="Q88" s="652">
        <v>4.8369900000000001</v>
      </c>
      <c r="R88" s="652">
        <v>483.69900000000001</v>
      </c>
      <c r="S88" s="652">
        <v>0.48369899999999999</v>
      </c>
      <c r="T88" s="653">
        <v>483699</v>
      </c>
      <c r="U88" s="200">
        <f t="shared" si="22"/>
        <v>9.4708514596165081E-7</v>
      </c>
      <c r="V88" s="201">
        <f t="shared" si="23"/>
        <v>9.4708514592404519E-7</v>
      </c>
      <c r="W88" s="201">
        <f t="shared" si="24"/>
        <v>9.4708514595342453E-7</v>
      </c>
      <c r="X88" s="665">
        <f t="shared" si="25"/>
        <v>9.4708514592404509E-7</v>
      </c>
      <c r="Y88" s="201">
        <f t="shared" si="26"/>
        <v>9.4708514597637732E-7</v>
      </c>
      <c r="Z88" s="202">
        <f t="shared" si="27"/>
        <v>9.4708514590148161E-7</v>
      </c>
    </row>
    <row r="89" spans="3:26" s="9" customFormat="1" x14ac:dyDescent="0.25">
      <c r="C89" s="310">
        <v>124</v>
      </c>
      <c r="D89" s="62" t="s">
        <v>56</v>
      </c>
      <c r="E89" s="34">
        <f>C89/0.000009869233</f>
        <v>12564299.576268995</v>
      </c>
      <c r="F89" s="310">
        <v>41891</v>
      </c>
      <c r="G89" s="62" t="s">
        <v>11</v>
      </c>
      <c r="H89" s="34">
        <f t="shared" ref="H89:H95" si="29">F89*4.187*1000</f>
        <v>175397617</v>
      </c>
      <c r="I89" s="310">
        <f t="shared" si="16"/>
        <v>1395999.9595304525</v>
      </c>
      <c r="J89" s="117">
        <f t="shared" si="17"/>
        <v>139599.99595304526</v>
      </c>
      <c r="K89" s="117">
        <f t="shared" si="18"/>
        <v>139.59999595304527</v>
      </c>
      <c r="L89" s="117">
        <f t="shared" si="19"/>
        <v>13959.999595304525</v>
      </c>
      <c r="M89" s="117">
        <f t="shared" si="20"/>
        <v>13.959999595304525</v>
      </c>
      <c r="N89" s="35">
        <f t="shared" si="21"/>
        <v>13959999.595304526</v>
      </c>
      <c r="O89" s="633">
        <v>1396000</v>
      </c>
      <c r="P89" s="630">
        <v>139600</v>
      </c>
      <c r="Q89" s="630">
        <v>139.6</v>
      </c>
      <c r="R89" s="630">
        <v>13960</v>
      </c>
      <c r="S89" s="630">
        <v>13.96</v>
      </c>
      <c r="T89" s="634">
        <v>13960000</v>
      </c>
      <c r="U89" s="155">
        <f t="shared" si="22"/>
        <v>-2.8989648047300722E-8</v>
      </c>
      <c r="V89" s="156">
        <f t="shared" si="23"/>
        <v>-2.8989647963908651E-8</v>
      </c>
      <c r="W89" s="156">
        <f t="shared" si="24"/>
        <v>-2.8989647893872344E-8</v>
      </c>
      <c r="X89" s="660">
        <f t="shared" si="25"/>
        <v>-2.8989648016028696E-8</v>
      </c>
      <c r="Y89" s="156">
        <f t="shared" si="26"/>
        <v>-2.8989648072017021E-8</v>
      </c>
      <c r="Z89" s="157">
        <f t="shared" si="27"/>
        <v>-2.8989647947230238E-8</v>
      </c>
    </row>
    <row r="90" spans="3:26" s="9" customFormat="1" x14ac:dyDescent="0.25">
      <c r="C90" s="310">
        <v>745</v>
      </c>
      <c r="D90" s="62" t="s">
        <v>57</v>
      </c>
      <c r="E90" s="34">
        <f>C90*100000</f>
        <v>74500000</v>
      </c>
      <c r="F90" s="310">
        <v>8494</v>
      </c>
      <c r="G90" s="62" t="s">
        <v>11</v>
      </c>
      <c r="H90" s="34">
        <f t="shared" si="29"/>
        <v>35564378.000000007</v>
      </c>
      <c r="I90" s="310">
        <f t="shared" si="16"/>
        <v>47737.420134228196</v>
      </c>
      <c r="J90" s="117">
        <f t="shared" si="17"/>
        <v>4773.7420134228196</v>
      </c>
      <c r="K90" s="117">
        <f t="shared" si="18"/>
        <v>4.7737420134228197</v>
      </c>
      <c r="L90" s="117">
        <f t="shared" si="19"/>
        <v>477.37420134228199</v>
      </c>
      <c r="M90" s="117">
        <f t="shared" si="20"/>
        <v>0.47737420134228198</v>
      </c>
      <c r="N90" s="35">
        <f t="shared" si="21"/>
        <v>477374.201342282</v>
      </c>
      <c r="O90" s="633">
        <v>47737.4</v>
      </c>
      <c r="P90" s="630">
        <v>4773.74</v>
      </c>
      <c r="Q90" s="630">
        <v>4.7737400000000001</v>
      </c>
      <c r="R90" s="630">
        <v>477.37400000000002</v>
      </c>
      <c r="S90" s="630">
        <v>0.47737400000000002</v>
      </c>
      <c r="T90" s="634">
        <v>477374</v>
      </c>
      <c r="U90" s="155">
        <f t="shared" si="22"/>
        <v>4.2177034573196048E-7</v>
      </c>
      <c r="V90" s="156">
        <f t="shared" si="23"/>
        <v>4.2177034580816862E-7</v>
      </c>
      <c r="W90" s="156">
        <f t="shared" si="24"/>
        <v>4.2177034576202698E-7</v>
      </c>
      <c r="X90" s="660">
        <f t="shared" si="25"/>
        <v>4.2177034578435355E-7</v>
      </c>
      <c r="Y90" s="156">
        <f t="shared" si="26"/>
        <v>4.2177034576202698E-7</v>
      </c>
      <c r="Z90" s="157">
        <f t="shared" si="27"/>
        <v>4.2177034585389342E-7</v>
      </c>
    </row>
    <row r="91" spans="3:26" s="9" customFormat="1" x14ac:dyDescent="0.25">
      <c r="C91" s="310">
        <v>82</v>
      </c>
      <c r="D91" s="62" t="s">
        <v>58</v>
      </c>
      <c r="E91" s="34">
        <f>C91*1000</f>
        <v>82000</v>
      </c>
      <c r="F91" s="33">
        <v>487</v>
      </c>
      <c r="G91" s="62" t="s">
        <v>11</v>
      </c>
      <c r="H91" s="34">
        <f t="shared" si="29"/>
        <v>2039069.0000000002</v>
      </c>
      <c r="I91" s="310">
        <f t="shared" si="16"/>
        <v>2486669.512195122</v>
      </c>
      <c r="J91" s="117">
        <f t="shared" si="17"/>
        <v>248666.95121951221</v>
      </c>
      <c r="K91" s="117">
        <f t="shared" si="18"/>
        <v>248.66695121951221</v>
      </c>
      <c r="L91" s="117">
        <f t="shared" si="19"/>
        <v>24866.695121951219</v>
      </c>
      <c r="M91" s="117">
        <f t="shared" si="20"/>
        <v>24.866695121951221</v>
      </c>
      <c r="N91" s="35">
        <f t="shared" si="21"/>
        <v>24866695.121951222</v>
      </c>
      <c r="O91" s="633">
        <v>2486670</v>
      </c>
      <c r="P91" s="630">
        <v>248667</v>
      </c>
      <c r="Q91" s="630">
        <v>248.667</v>
      </c>
      <c r="R91" s="630">
        <v>24866.7</v>
      </c>
      <c r="S91" s="630">
        <v>24.866700000000002</v>
      </c>
      <c r="T91" s="634">
        <v>24866695</v>
      </c>
      <c r="U91" s="155">
        <f t="shared" si="22"/>
        <v>-1.9616795703857337E-7</v>
      </c>
      <c r="V91" s="156">
        <f t="shared" si="23"/>
        <v>-1.9616795699175762E-7</v>
      </c>
      <c r="W91" s="156">
        <f t="shared" si="24"/>
        <v>-1.9616795697438458E-7</v>
      </c>
      <c r="X91" s="660">
        <f t="shared" si="25"/>
        <v>-1.9616795707953718E-7</v>
      </c>
      <c r="Y91" s="156">
        <f t="shared" si="26"/>
        <v>-1.961679570601068E-7</v>
      </c>
      <c r="Z91" s="157">
        <f t="shared" si="27"/>
        <v>4.9041990430037322E-9</v>
      </c>
    </row>
    <row r="92" spans="3:26" s="9" customFormat="1" x14ac:dyDescent="0.25">
      <c r="C92" s="310">
        <v>562</v>
      </c>
      <c r="D92" s="62" t="s">
        <v>59</v>
      </c>
      <c r="E92" s="34">
        <f>C92*9.80665</f>
        <v>5511.3372999999992</v>
      </c>
      <c r="F92" s="310">
        <v>101</v>
      </c>
      <c r="G92" s="62" t="s">
        <v>11</v>
      </c>
      <c r="H92" s="34">
        <f t="shared" si="29"/>
        <v>422887</v>
      </c>
      <c r="I92" s="310">
        <f t="shared" si="16"/>
        <v>7673037.9031600915</v>
      </c>
      <c r="J92" s="117">
        <f t="shared" si="17"/>
        <v>767303.7903160092</v>
      </c>
      <c r="K92" s="117">
        <f t="shared" si="18"/>
        <v>767.30379031600921</v>
      </c>
      <c r="L92" s="117">
        <f t="shared" si="19"/>
        <v>76730.379031600925</v>
      </c>
      <c r="M92" s="117">
        <f t="shared" si="20"/>
        <v>76.730379031600918</v>
      </c>
      <c r="N92" s="35">
        <f t="shared" si="21"/>
        <v>76730379.031600922</v>
      </c>
      <c r="O92" s="633">
        <v>7673038</v>
      </c>
      <c r="P92" s="630">
        <v>767304</v>
      </c>
      <c r="Q92" s="630">
        <v>767.30399999999997</v>
      </c>
      <c r="R92" s="630">
        <v>76730.399999999994</v>
      </c>
      <c r="S92" s="630">
        <v>76.730400000000003</v>
      </c>
      <c r="T92" s="634">
        <v>76730379</v>
      </c>
      <c r="U92" s="155">
        <f t="shared" si="22"/>
        <v>-1.2620804136854799E-8</v>
      </c>
      <c r="V92" s="156">
        <f t="shared" si="23"/>
        <v>-2.7327375864795547E-7</v>
      </c>
      <c r="W92" s="156">
        <f t="shared" si="24"/>
        <v>-2.7327375859106048E-7</v>
      </c>
      <c r="X92" s="660">
        <f t="shared" si="25"/>
        <v>-2.7327375849623545E-7</v>
      </c>
      <c r="Y92" s="156">
        <f t="shared" si="26"/>
        <v>-2.7327375870218352E-7</v>
      </c>
      <c r="Z92" s="157">
        <f t="shared" si="27"/>
        <v>4.1184368883542818E-10</v>
      </c>
    </row>
    <row r="93" spans="3:26" s="9" customFormat="1" x14ac:dyDescent="0.25">
      <c r="C93" s="310">
        <v>2254</v>
      </c>
      <c r="D93" s="62" t="s">
        <v>67</v>
      </c>
      <c r="E93" s="34">
        <f>C93*1000000</f>
        <v>2254000000</v>
      </c>
      <c r="F93" s="310">
        <v>59</v>
      </c>
      <c r="G93" s="62" t="s">
        <v>11</v>
      </c>
      <c r="H93" s="34">
        <f t="shared" si="29"/>
        <v>247033.00000000003</v>
      </c>
      <c r="I93" s="310">
        <f t="shared" si="16"/>
        <v>10.959760425909495</v>
      </c>
      <c r="J93" s="117">
        <f t="shared" si="17"/>
        <v>1.0959760425909495</v>
      </c>
      <c r="K93" s="117">
        <f t="shared" si="18"/>
        <v>1.0959760425909495E-3</v>
      </c>
      <c r="L93" s="117">
        <f t="shared" si="19"/>
        <v>0.10959760425909496</v>
      </c>
      <c r="M93" s="117">
        <f t="shared" si="20"/>
        <v>1.0959760425909495E-4</v>
      </c>
      <c r="N93" s="35">
        <f t="shared" si="21"/>
        <v>109.59760425909495</v>
      </c>
      <c r="O93" s="633">
        <v>10.9598</v>
      </c>
      <c r="P93" s="630">
        <v>1.09598</v>
      </c>
      <c r="Q93" s="630">
        <v>1.0959800000000001E-3</v>
      </c>
      <c r="R93" s="630">
        <v>0.109598</v>
      </c>
      <c r="S93" s="630">
        <v>1.09598E-4</v>
      </c>
      <c r="T93" s="634">
        <v>109.598</v>
      </c>
      <c r="U93" s="155">
        <f t="shared" si="22"/>
        <v>-3.6108536105032918E-6</v>
      </c>
      <c r="V93" s="156">
        <f t="shared" si="23"/>
        <v>-3.6108536105438122E-6</v>
      </c>
      <c r="W93" s="156">
        <f t="shared" si="24"/>
        <v>-3.6108536107020934E-6</v>
      </c>
      <c r="X93" s="660">
        <f t="shared" si="25"/>
        <v>-3.6108536105438118E-6</v>
      </c>
      <c r="Y93" s="156">
        <f t="shared" si="26"/>
        <v>-3.6108536106031676E-6</v>
      </c>
      <c r="Z93" s="157">
        <f t="shared" si="27"/>
        <v>-3.6108536105681241E-6</v>
      </c>
    </row>
    <row r="94" spans="3:26" s="9" customFormat="1" x14ac:dyDescent="0.25">
      <c r="C94" s="310">
        <v>578</v>
      </c>
      <c r="D94" s="62" t="s">
        <v>61</v>
      </c>
      <c r="E94" s="34">
        <f>C94</f>
        <v>578</v>
      </c>
      <c r="F94" s="310">
        <v>29</v>
      </c>
      <c r="G94" s="62" t="s">
        <v>11</v>
      </c>
      <c r="H94" s="34">
        <f t="shared" si="29"/>
        <v>121423</v>
      </c>
      <c r="I94" s="310">
        <f t="shared" si="16"/>
        <v>21007439.446366783</v>
      </c>
      <c r="J94" s="117">
        <f t="shared" si="17"/>
        <v>2100743.9446366783</v>
      </c>
      <c r="K94" s="117">
        <f t="shared" si="18"/>
        <v>2100.7439446366784</v>
      </c>
      <c r="L94" s="117">
        <f t="shared" si="19"/>
        <v>210074.39446366782</v>
      </c>
      <c r="M94" s="117">
        <f t="shared" si="20"/>
        <v>210.07439446366783</v>
      </c>
      <c r="N94" s="35">
        <f t="shared" si="21"/>
        <v>210074394.46366784</v>
      </c>
      <c r="O94" s="633">
        <v>21007439</v>
      </c>
      <c r="P94" s="630">
        <v>2100744</v>
      </c>
      <c r="Q94" s="630">
        <v>2100.7399999999998</v>
      </c>
      <c r="R94" s="630">
        <v>210074</v>
      </c>
      <c r="S94" s="630">
        <v>210.07400000000001</v>
      </c>
      <c r="T94" s="634">
        <v>210074394</v>
      </c>
      <c r="U94" s="155">
        <f t="shared" si="22"/>
        <v>2.1248033791604981E-8</v>
      </c>
      <c r="V94" s="156">
        <f t="shared" si="23"/>
        <v>-2.6354150308606674E-8</v>
      </c>
      <c r="W94" s="156">
        <f t="shared" si="24"/>
        <v>1.8777332138435952E-6</v>
      </c>
      <c r="X94" s="660">
        <f t="shared" si="25"/>
        <v>1.8777332136444433E-6</v>
      </c>
      <c r="Y94" s="156">
        <f t="shared" si="26"/>
        <v>1.8777332136271258E-6</v>
      </c>
      <c r="Z94" s="157">
        <f t="shared" si="27"/>
        <v>2.2071601869867087E-9</v>
      </c>
    </row>
    <row r="95" spans="3:26" s="9" customFormat="1" x14ac:dyDescent="0.25">
      <c r="C95" s="310">
        <v>72</v>
      </c>
      <c r="D95" s="62" t="s">
        <v>66</v>
      </c>
      <c r="E95" s="34">
        <f>C95/0.0001450377</f>
        <v>496422.65424782655</v>
      </c>
      <c r="F95" s="310">
        <v>2</v>
      </c>
      <c r="G95" s="62" t="s">
        <v>11</v>
      </c>
      <c r="H95" s="34">
        <f t="shared" si="29"/>
        <v>8374</v>
      </c>
      <c r="I95" s="310">
        <f t="shared" si="16"/>
        <v>1686.8690275000001</v>
      </c>
      <c r="J95" s="117">
        <f t="shared" si="17"/>
        <v>168.68690275</v>
      </c>
      <c r="K95" s="117">
        <f t="shared" si="18"/>
        <v>0.16868690275000001</v>
      </c>
      <c r="L95" s="117">
        <f t="shared" si="19"/>
        <v>16.868690275000002</v>
      </c>
      <c r="M95" s="117">
        <f t="shared" si="20"/>
        <v>1.6868690275000001E-2</v>
      </c>
      <c r="N95" s="35">
        <f t="shared" si="21"/>
        <v>16868.690275000001</v>
      </c>
      <c r="O95" s="633">
        <v>1686.87</v>
      </c>
      <c r="P95" s="630">
        <v>168.68700000000001</v>
      </c>
      <c r="Q95" s="630">
        <v>0.168687</v>
      </c>
      <c r="R95" s="630">
        <v>16.8687</v>
      </c>
      <c r="S95" s="630">
        <v>1.68687E-2</v>
      </c>
      <c r="T95" s="634">
        <v>16868.7</v>
      </c>
      <c r="U95" s="155">
        <f t="shared" si="22"/>
        <v>-5.7651185949086188E-7</v>
      </c>
      <c r="V95" s="156">
        <f t="shared" si="23"/>
        <v>-5.7651185969304748E-7</v>
      </c>
      <c r="W95" s="156">
        <f t="shared" si="24"/>
        <v>-5.7651185961670133E-7</v>
      </c>
      <c r="X95" s="660">
        <f t="shared" si="25"/>
        <v>-5.7651185952455939E-7</v>
      </c>
      <c r="Y95" s="156">
        <f t="shared" si="26"/>
        <v>-5.7651185961670133E-7</v>
      </c>
      <c r="Z95" s="157">
        <f t="shared" si="27"/>
        <v>-5.7651185962565224E-7</v>
      </c>
    </row>
    <row r="96" spans="3:26" s="9" customFormat="1" ht="15.75" thickBot="1" x14ac:dyDescent="0.3">
      <c r="C96" s="312">
        <v>61</v>
      </c>
      <c r="D96" s="63" t="s">
        <v>63</v>
      </c>
      <c r="E96" s="39">
        <f>C96/0.007500616</f>
        <v>8132.6653704175769</v>
      </c>
      <c r="F96" s="312">
        <v>592</v>
      </c>
      <c r="G96" s="63" t="s">
        <v>11</v>
      </c>
      <c r="H96" s="39">
        <f>F96*4.187*1000</f>
        <v>2478704</v>
      </c>
      <c r="I96" s="312">
        <f t="shared" si="16"/>
        <v>30478371.937154096</v>
      </c>
      <c r="J96" s="118">
        <f t="shared" si="17"/>
        <v>3047837.1937154094</v>
      </c>
      <c r="K96" s="118">
        <f t="shared" si="18"/>
        <v>3047.8371937154093</v>
      </c>
      <c r="L96" s="118">
        <f t="shared" si="19"/>
        <v>304783.71937154094</v>
      </c>
      <c r="M96" s="118">
        <f t="shared" si="20"/>
        <v>304.78371937154094</v>
      </c>
      <c r="N96" s="40">
        <f t="shared" si="21"/>
        <v>304783719.37154096</v>
      </c>
      <c r="O96" s="654">
        <v>30478372</v>
      </c>
      <c r="P96" s="655">
        <v>3047837</v>
      </c>
      <c r="Q96" s="655">
        <v>3047.84</v>
      </c>
      <c r="R96" s="655">
        <v>304784</v>
      </c>
      <c r="S96" s="655">
        <v>304.78399999999999</v>
      </c>
      <c r="T96" s="656">
        <v>304783719</v>
      </c>
      <c r="U96" s="176">
        <f t="shared" si="22"/>
        <v>-2.0619836423569577E-9</v>
      </c>
      <c r="V96" s="177">
        <f t="shared" si="23"/>
        <v>6.3558319248536366E-8</v>
      </c>
      <c r="W96" s="177">
        <f t="shared" si="24"/>
        <v>-9.2074622510915428E-7</v>
      </c>
      <c r="X96" s="666">
        <f t="shared" si="25"/>
        <v>-9.207462250315686E-7</v>
      </c>
      <c r="Y96" s="177">
        <f t="shared" si="26"/>
        <v>-9.207462249972518E-7</v>
      </c>
      <c r="Z96" s="178">
        <f t="shared" si="27"/>
        <v>1.2190315296888598E-9</v>
      </c>
    </row>
    <row r="97" spans="3:35" s="9" customFormat="1" ht="15.75" thickTop="1" x14ac:dyDescent="0.25">
      <c r="C97" s="414">
        <v>8</v>
      </c>
      <c r="D97" s="204" t="s">
        <v>55</v>
      </c>
      <c r="E97" s="205">
        <f>C97/0.00001019716</f>
        <v>784532.16385738773</v>
      </c>
      <c r="F97" s="414">
        <v>2</v>
      </c>
      <c r="G97" s="204" t="s">
        <v>12</v>
      </c>
      <c r="H97" s="205">
        <f>F97*3600*1000</f>
        <v>7200000</v>
      </c>
      <c r="I97" s="414">
        <f t="shared" si="16"/>
        <v>917744.39999999991</v>
      </c>
      <c r="J97" s="415">
        <f t="shared" si="17"/>
        <v>91774.439999999988</v>
      </c>
      <c r="K97" s="415">
        <f t="shared" si="18"/>
        <v>91.774439999999998</v>
      </c>
      <c r="L97" s="415">
        <f t="shared" si="19"/>
        <v>9177.4439999999995</v>
      </c>
      <c r="M97" s="415">
        <f t="shared" si="20"/>
        <v>9.1774439999999995</v>
      </c>
      <c r="N97" s="206">
        <f t="shared" si="21"/>
        <v>9177444</v>
      </c>
      <c r="O97" s="646">
        <v>917744</v>
      </c>
      <c r="P97" s="647">
        <v>91774.399999999994</v>
      </c>
      <c r="Q97" s="647">
        <v>91.7744</v>
      </c>
      <c r="R97" s="647">
        <v>9177.44</v>
      </c>
      <c r="S97" s="647">
        <v>9.1774400000000007</v>
      </c>
      <c r="T97" s="648">
        <v>9177444</v>
      </c>
      <c r="U97" s="460">
        <f t="shared" si="22"/>
        <v>4.3585120204151371E-7</v>
      </c>
      <c r="V97" s="524">
        <f t="shared" si="23"/>
        <v>4.358512020732261E-7</v>
      </c>
      <c r="W97" s="524">
        <f t="shared" si="24"/>
        <v>4.3585120212649288E-7</v>
      </c>
      <c r="X97" s="667">
        <f t="shared" si="25"/>
        <v>4.3585120203358559E-7</v>
      </c>
      <c r="Y97" s="524">
        <f t="shared" si="26"/>
        <v>4.3585120201035878E-7</v>
      </c>
      <c r="Z97" s="550">
        <f t="shared" si="27"/>
        <v>0</v>
      </c>
    </row>
    <row r="98" spans="3:35" s="9" customFormat="1" x14ac:dyDescent="0.25">
      <c r="C98" s="412">
        <v>4587</v>
      </c>
      <c r="D98" s="214" t="s">
        <v>56</v>
      </c>
      <c r="E98" s="215">
        <f>C98/0.000009869233</f>
        <v>464777759.32537001</v>
      </c>
      <c r="F98" s="412">
        <v>98</v>
      </c>
      <c r="G98" s="214" t="s">
        <v>12</v>
      </c>
      <c r="H98" s="215">
        <f>F98*3600*1000</f>
        <v>352800000</v>
      </c>
      <c r="I98" s="412">
        <f t="shared" si="16"/>
        <v>75907.246618705045</v>
      </c>
      <c r="J98" s="274">
        <f t="shared" si="17"/>
        <v>7590.7246618705049</v>
      </c>
      <c r="K98" s="274">
        <f t="shared" si="18"/>
        <v>7.5907246618705049</v>
      </c>
      <c r="L98" s="274">
        <f t="shared" si="19"/>
        <v>759.07246618705051</v>
      </c>
      <c r="M98" s="274">
        <f t="shared" si="20"/>
        <v>0.75907246618705049</v>
      </c>
      <c r="N98" s="216">
        <f t="shared" si="21"/>
        <v>759072.46618705045</v>
      </c>
      <c r="O98" s="635">
        <v>75907.199999999997</v>
      </c>
      <c r="P98" s="632">
        <v>7590.72</v>
      </c>
      <c r="Q98" s="632">
        <v>7.5907200000000001</v>
      </c>
      <c r="R98" s="632">
        <v>759.072</v>
      </c>
      <c r="S98" s="632">
        <v>0.75907199999999997</v>
      </c>
      <c r="T98" s="636">
        <v>759072</v>
      </c>
      <c r="U98" s="221">
        <f t="shared" si="22"/>
        <v>6.1415355087308359E-7</v>
      </c>
      <c r="V98" s="222">
        <f t="shared" si="23"/>
        <v>6.1415355084912029E-7</v>
      </c>
      <c r="W98" s="222">
        <f t="shared" si="24"/>
        <v>6.1415355086690555E-7</v>
      </c>
      <c r="X98" s="663">
        <f t="shared" si="25"/>
        <v>6.141535509090286E-7</v>
      </c>
      <c r="Y98" s="222">
        <f t="shared" si="26"/>
        <v>6.141535509254098E-7</v>
      </c>
      <c r="Z98" s="223">
        <f t="shared" si="27"/>
        <v>6.1415355083474233E-7</v>
      </c>
    </row>
    <row r="99" spans="3:35" s="9" customFormat="1" x14ac:dyDescent="0.25">
      <c r="C99" s="412">
        <v>323</v>
      </c>
      <c r="D99" s="214" t="s">
        <v>57</v>
      </c>
      <c r="E99" s="215">
        <f>C99*100000</f>
        <v>32300000</v>
      </c>
      <c r="F99" s="412">
        <v>292</v>
      </c>
      <c r="G99" s="214" t="s">
        <v>12</v>
      </c>
      <c r="H99" s="215">
        <f t="shared" ref="H99:H104" si="30">F99*3600*1000</f>
        <v>1051200000</v>
      </c>
      <c r="I99" s="412">
        <f t="shared" si="16"/>
        <v>3254489.1640866874</v>
      </c>
      <c r="J99" s="274">
        <f t="shared" si="17"/>
        <v>325448.91640866874</v>
      </c>
      <c r="K99" s="274">
        <f t="shared" si="18"/>
        <v>325.44891640866871</v>
      </c>
      <c r="L99" s="274">
        <f t="shared" si="19"/>
        <v>32544.891640866874</v>
      </c>
      <c r="M99" s="274">
        <f t="shared" si="20"/>
        <v>32.544891640866872</v>
      </c>
      <c r="N99" s="216">
        <f t="shared" si="21"/>
        <v>32544891.640866872</v>
      </c>
      <c r="O99" s="635">
        <v>3254489</v>
      </c>
      <c r="P99" s="632">
        <v>325449</v>
      </c>
      <c r="Q99" s="632">
        <v>325.44900000000001</v>
      </c>
      <c r="R99" s="632">
        <v>32544.9</v>
      </c>
      <c r="S99" s="632">
        <v>32.544899999999998</v>
      </c>
      <c r="T99" s="636">
        <v>32544892</v>
      </c>
      <c r="U99" s="221">
        <f t="shared" si="22"/>
        <v>5.0418569276334726E-8</v>
      </c>
      <c r="V99" s="222">
        <f t="shared" si="23"/>
        <v>-2.5684931504634411E-7</v>
      </c>
      <c r="W99" s="222">
        <f t="shared" si="24"/>
        <v>-2.5684931517489508E-7</v>
      </c>
      <c r="X99" s="663">
        <f t="shared" si="25"/>
        <v>-2.5684931509105745E-7</v>
      </c>
      <c r="Y99" s="222">
        <f t="shared" si="26"/>
        <v>-2.5684931504389884E-7</v>
      </c>
      <c r="Z99" s="223">
        <f t="shared" si="27"/>
        <v>-1.1035007645434146E-8</v>
      </c>
    </row>
    <row r="100" spans="3:35" s="9" customFormat="1" x14ac:dyDescent="0.25">
      <c r="C100" s="412">
        <v>944</v>
      </c>
      <c r="D100" s="214" t="s">
        <v>58</v>
      </c>
      <c r="E100" s="215">
        <f>C100*1000</f>
        <v>944000</v>
      </c>
      <c r="F100" s="412">
        <v>329</v>
      </c>
      <c r="G100" s="214" t="s">
        <v>12</v>
      </c>
      <c r="H100" s="215">
        <f t="shared" si="30"/>
        <v>1184400000</v>
      </c>
      <c r="I100" s="412">
        <f t="shared" si="16"/>
        <v>125466101.69491525</v>
      </c>
      <c r="J100" s="274">
        <f t="shared" si="17"/>
        <v>12546610.169491526</v>
      </c>
      <c r="K100" s="274">
        <f t="shared" si="18"/>
        <v>12546.610169491525</v>
      </c>
      <c r="L100" s="274">
        <f t="shared" si="19"/>
        <v>1254661.0169491526</v>
      </c>
      <c r="M100" s="274">
        <f t="shared" si="20"/>
        <v>1254.6610169491526</v>
      </c>
      <c r="N100" s="216">
        <f t="shared" si="21"/>
        <v>1254661016.9491525</v>
      </c>
      <c r="O100" s="635">
        <v>125466102</v>
      </c>
      <c r="P100" s="632">
        <v>12546610</v>
      </c>
      <c r="Q100" s="632">
        <v>12546.6</v>
      </c>
      <c r="R100" s="632">
        <v>1254661</v>
      </c>
      <c r="S100" s="632">
        <v>1254.6600000000001</v>
      </c>
      <c r="T100" s="636">
        <v>1254661017</v>
      </c>
      <c r="U100" s="221">
        <f t="shared" si="22"/>
        <v>-2.4316109764700765E-9</v>
      </c>
      <c r="V100" s="222">
        <f t="shared" si="23"/>
        <v>1.3508949704324824E-8</v>
      </c>
      <c r="W100" s="222">
        <f t="shared" si="24"/>
        <v>8.1053698069372116E-7</v>
      </c>
      <c r="X100" s="663">
        <f t="shared" si="25"/>
        <v>1.3508949704324824E-8</v>
      </c>
      <c r="Y100" s="222">
        <f t="shared" si="26"/>
        <v>8.1053698069372105E-7</v>
      </c>
      <c r="Z100" s="223">
        <f t="shared" si="27"/>
        <v>-4.0526907011609919E-11</v>
      </c>
    </row>
    <row r="101" spans="3:35" s="9" customFormat="1" x14ac:dyDescent="0.25">
      <c r="C101" s="412">
        <v>170</v>
      </c>
      <c r="D101" s="214" t="s">
        <v>59</v>
      </c>
      <c r="E101" s="215">
        <f>C101*9.80665</f>
        <v>1667.1305</v>
      </c>
      <c r="F101" s="412">
        <v>8749</v>
      </c>
      <c r="G101" s="214" t="s">
        <v>12</v>
      </c>
      <c r="H101" s="215">
        <f t="shared" si="30"/>
        <v>31496400000</v>
      </c>
      <c r="I101" s="412">
        <f t="shared" si="16"/>
        <v>1889258219437.5305</v>
      </c>
      <c r="J101" s="274">
        <f t="shared" si="17"/>
        <v>188925821943.75305</v>
      </c>
      <c r="K101" s="274">
        <f t="shared" si="18"/>
        <v>188925821.94375306</v>
      </c>
      <c r="L101" s="274">
        <f t="shared" si="19"/>
        <v>18892582194.375305</v>
      </c>
      <c r="M101" s="274">
        <f t="shared" si="20"/>
        <v>18892582.194375306</v>
      </c>
      <c r="N101" s="216">
        <f t="shared" si="21"/>
        <v>18892582194375.305</v>
      </c>
      <c r="O101" s="635">
        <v>1889258219438</v>
      </c>
      <c r="P101" s="632">
        <v>188925821944</v>
      </c>
      <c r="Q101" s="632">
        <v>188925822</v>
      </c>
      <c r="R101" s="632">
        <v>18892582194</v>
      </c>
      <c r="S101" s="632">
        <v>18892582</v>
      </c>
      <c r="T101" s="636">
        <v>18892582194375</v>
      </c>
      <c r="U101" s="221">
        <f t="shared" si="22"/>
        <v>-2.4850092858919739E-13</v>
      </c>
      <c r="V101" s="222">
        <f t="shared" si="23"/>
        <v>-1.3071174688922162E-12</v>
      </c>
      <c r="W101" s="222">
        <f t="shared" si="24"/>
        <v>-2.9771968565527462E-10</v>
      </c>
      <c r="X101" s="663">
        <f t="shared" si="25"/>
        <v>1.986521333716816E-11</v>
      </c>
      <c r="Y101" s="222">
        <f t="shared" si="26"/>
        <v>1.0288445717374913E-8</v>
      </c>
      <c r="Z101" s="223">
        <f t="shared" si="27"/>
        <v>1.6127361356178804E-14</v>
      </c>
    </row>
    <row r="102" spans="3:35" s="9" customFormat="1" x14ac:dyDescent="0.25">
      <c r="C102" s="412">
        <v>53</v>
      </c>
      <c r="D102" s="214" t="s">
        <v>67</v>
      </c>
      <c r="E102" s="215">
        <f>C102*1000000</f>
        <v>53000000</v>
      </c>
      <c r="F102" s="412">
        <v>2395</v>
      </c>
      <c r="G102" s="214" t="s">
        <v>12</v>
      </c>
      <c r="H102" s="215">
        <f t="shared" si="30"/>
        <v>8622000000</v>
      </c>
      <c r="I102" s="412">
        <f t="shared" si="16"/>
        <v>16267924.528301887</v>
      </c>
      <c r="J102" s="274">
        <f t="shared" si="17"/>
        <v>1626792.4528301887</v>
      </c>
      <c r="K102" s="274">
        <f t="shared" si="18"/>
        <v>1626.7924528301887</v>
      </c>
      <c r="L102" s="274">
        <f t="shared" si="19"/>
        <v>162679.24528301888</v>
      </c>
      <c r="M102" s="274">
        <f t="shared" si="20"/>
        <v>162.67924528301887</v>
      </c>
      <c r="N102" s="216">
        <f t="shared" si="21"/>
        <v>162679245.28301889</v>
      </c>
      <c r="O102" s="635">
        <v>16267925</v>
      </c>
      <c r="P102" s="632">
        <v>1626792</v>
      </c>
      <c r="Q102" s="632">
        <v>1626.79</v>
      </c>
      <c r="R102" s="632">
        <v>162679</v>
      </c>
      <c r="S102" s="632">
        <v>162.679</v>
      </c>
      <c r="T102" s="636">
        <v>162679245</v>
      </c>
      <c r="U102" s="221">
        <f t="shared" si="22"/>
        <v>-2.8995592643990093E-8</v>
      </c>
      <c r="V102" s="222">
        <f t="shared" si="23"/>
        <v>2.7835768962847562E-7</v>
      </c>
      <c r="W102" s="222">
        <f t="shared" si="24"/>
        <v>1.5077708188842713E-6</v>
      </c>
      <c r="X102" s="663">
        <f t="shared" si="25"/>
        <v>1.5077708189401782E-6</v>
      </c>
      <c r="Y102" s="222">
        <f t="shared" si="26"/>
        <v>1.5077708188493293E-6</v>
      </c>
      <c r="Z102" s="223">
        <f t="shared" si="27"/>
        <v>1.7397356777173463E-9</v>
      </c>
    </row>
    <row r="103" spans="3:35" s="9" customFormat="1" x14ac:dyDescent="0.25">
      <c r="C103" s="412">
        <v>458</v>
      </c>
      <c r="D103" s="214" t="s">
        <v>61</v>
      </c>
      <c r="E103" s="215">
        <f>C103</f>
        <v>458</v>
      </c>
      <c r="F103" s="412">
        <v>944</v>
      </c>
      <c r="G103" s="214" t="s">
        <v>12</v>
      </c>
      <c r="H103" s="215">
        <f t="shared" si="30"/>
        <v>3398400000</v>
      </c>
      <c r="I103" s="412">
        <f t="shared" si="16"/>
        <v>742008733624.4541</v>
      </c>
      <c r="J103" s="274">
        <f t="shared" si="17"/>
        <v>74200873362.445419</v>
      </c>
      <c r="K103" s="274">
        <f t="shared" si="18"/>
        <v>74200873.362445414</v>
      </c>
      <c r="L103" s="274">
        <f t="shared" si="19"/>
        <v>7420087336.2445412</v>
      </c>
      <c r="M103" s="274">
        <f t="shared" si="20"/>
        <v>7420087.3362445412</v>
      </c>
      <c r="N103" s="216">
        <f t="shared" si="21"/>
        <v>7420087336244.541</v>
      </c>
      <c r="O103" s="635">
        <v>742008733624</v>
      </c>
      <c r="P103" s="632">
        <v>74200873362</v>
      </c>
      <c r="Q103" s="632">
        <v>74200873</v>
      </c>
      <c r="R103" s="632">
        <v>7420087336</v>
      </c>
      <c r="S103" s="632">
        <v>7420087</v>
      </c>
      <c r="T103" s="636">
        <v>7420087336245</v>
      </c>
      <c r="U103" s="221">
        <f t="shared" si="22"/>
        <v>6.1198951160840403E-13</v>
      </c>
      <c r="V103" s="222">
        <f t="shared" si="23"/>
        <v>6.0028850246508466E-12</v>
      </c>
      <c r="W103" s="222">
        <f t="shared" si="24"/>
        <v>4.8846515902298771E-9</v>
      </c>
      <c r="X103" s="663">
        <f t="shared" si="25"/>
        <v>3.2956642844133681E-11</v>
      </c>
      <c r="Y103" s="222">
        <f t="shared" si="26"/>
        <v>4.5315442525579114E-8</v>
      </c>
      <c r="Z103" s="223">
        <f t="shared" si="27"/>
        <v>-6.1857004399129007E-14</v>
      </c>
    </row>
    <row r="104" spans="3:35" s="9" customFormat="1" x14ac:dyDescent="0.25">
      <c r="C104" s="412">
        <v>358</v>
      </c>
      <c r="D104" s="214" t="s">
        <v>66</v>
      </c>
      <c r="E104" s="215">
        <f>C104/0.0001450377</f>
        <v>2468323.7530655819</v>
      </c>
      <c r="F104" s="412">
        <v>2894</v>
      </c>
      <c r="G104" s="214" t="s">
        <v>12</v>
      </c>
      <c r="H104" s="215">
        <f t="shared" si="30"/>
        <v>10418400000</v>
      </c>
      <c r="I104" s="412">
        <f t="shared" si="16"/>
        <v>422084014.99441344</v>
      </c>
      <c r="J104" s="274">
        <f t="shared" si="17"/>
        <v>42208401.499441341</v>
      </c>
      <c r="K104" s="274">
        <f t="shared" si="18"/>
        <v>42208.401499441345</v>
      </c>
      <c r="L104" s="274">
        <f t="shared" si="19"/>
        <v>4220840.1499441341</v>
      </c>
      <c r="M104" s="274">
        <f t="shared" si="20"/>
        <v>4220.8401499441343</v>
      </c>
      <c r="N104" s="216">
        <f t="shared" si="21"/>
        <v>4220840149.9441342</v>
      </c>
      <c r="O104" s="635">
        <v>422084015</v>
      </c>
      <c r="P104" s="632">
        <v>42208401</v>
      </c>
      <c r="Q104" s="632">
        <v>42208.4</v>
      </c>
      <c r="R104" s="632">
        <v>4220840</v>
      </c>
      <c r="S104" s="632">
        <v>4220.84</v>
      </c>
      <c r="T104" s="636">
        <v>4220840150</v>
      </c>
      <c r="U104" s="221">
        <f t="shared" si="22"/>
        <v>-1.3235669540664739E-11</v>
      </c>
      <c r="V104" s="222">
        <f t="shared" si="23"/>
        <v>1.1832747103021467E-8</v>
      </c>
      <c r="W104" s="222">
        <f t="shared" si="24"/>
        <v>3.5524712851418271E-8</v>
      </c>
      <c r="X104" s="663">
        <f t="shared" si="25"/>
        <v>3.5524712789360853E-8</v>
      </c>
      <c r="Y104" s="222">
        <f t="shared" si="26"/>
        <v>3.5524712808322836E-8</v>
      </c>
      <c r="Z104" s="223">
        <f t="shared" si="27"/>
        <v>-1.3235697783688715E-11</v>
      </c>
    </row>
    <row r="105" spans="3:35" s="9" customFormat="1" ht="15.75" thickBot="1" x14ac:dyDescent="0.3">
      <c r="C105" s="397">
        <v>11487</v>
      </c>
      <c r="D105" s="398" t="s">
        <v>63</v>
      </c>
      <c r="E105" s="399">
        <f>C105/0.007500616</f>
        <v>1531474.2149178148</v>
      </c>
      <c r="F105" s="397">
        <v>2987</v>
      </c>
      <c r="G105" s="398" t="s">
        <v>12</v>
      </c>
      <c r="H105" s="399">
        <f>F105*3600*1000</f>
        <v>10753200000</v>
      </c>
      <c r="I105" s="397">
        <f t="shared" si="16"/>
        <v>702146983.29589963</v>
      </c>
      <c r="J105" s="428">
        <f t="shared" si="17"/>
        <v>70214698.329589963</v>
      </c>
      <c r="K105" s="428">
        <f t="shared" si="18"/>
        <v>70214.69832958997</v>
      </c>
      <c r="L105" s="428">
        <f t="shared" si="19"/>
        <v>7021469.8329589963</v>
      </c>
      <c r="M105" s="428">
        <f t="shared" si="20"/>
        <v>7021.4698329589964</v>
      </c>
      <c r="N105" s="410">
        <f t="shared" si="21"/>
        <v>7021469832.9589968</v>
      </c>
      <c r="O105" s="638">
        <v>702146983</v>
      </c>
      <c r="P105" s="639">
        <v>70214698</v>
      </c>
      <c r="Q105" s="639">
        <v>70214.7</v>
      </c>
      <c r="R105" s="639">
        <v>7021470</v>
      </c>
      <c r="S105" s="639">
        <v>7021.47</v>
      </c>
      <c r="T105" s="640">
        <v>7021469833</v>
      </c>
      <c r="U105" s="234">
        <f t="shared" si="22"/>
        <v>4.2142120757100387E-10</v>
      </c>
      <c r="V105" s="235">
        <f t="shared" si="23"/>
        <v>4.6940308909707773E-9</v>
      </c>
      <c r="W105" s="235">
        <f t="shared" si="24"/>
        <v>-2.3790033524098497E-8</v>
      </c>
      <c r="X105" s="668">
        <f t="shared" si="25"/>
        <v>-2.3790033665027716E-8</v>
      </c>
      <c r="Y105" s="235">
        <f t="shared" si="26"/>
        <v>-2.3790033679535134E-8</v>
      </c>
      <c r="Z105" s="236">
        <f t="shared" si="27"/>
        <v>-5.8396928576715232E-12</v>
      </c>
    </row>
    <row r="106" spans="3:35" s="9" customFormat="1" ht="15.75" thickTop="1" x14ac:dyDescent="0.25"/>
    <row r="107" spans="3:35" s="9" customFormat="1" ht="15.75" thickBot="1" x14ac:dyDescent="0.3"/>
    <row r="108" spans="3:35" s="9" customFormat="1" ht="15.75" thickTop="1" x14ac:dyDescent="0.25">
      <c r="C108" s="2488" t="s">
        <v>0</v>
      </c>
      <c r="D108" s="2489"/>
      <c r="E108" s="2489"/>
      <c r="F108" s="2489"/>
      <c r="G108" s="2489"/>
      <c r="H108" s="2489"/>
      <c r="I108" s="2483" t="s">
        <v>158</v>
      </c>
      <c r="J108" s="2484"/>
      <c r="K108" s="2484"/>
      <c r="L108" s="2484"/>
      <c r="M108" s="2484"/>
      <c r="N108" s="2484"/>
      <c r="O108" s="2484"/>
      <c r="P108" s="2484"/>
      <c r="Q108" s="2485"/>
      <c r="R108" s="2489" t="s">
        <v>17</v>
      </c>
      <c r="S108" s="2489"/>
      <c r="T108" s="2489"/>
      <c r="U108" s="2489"/>
      <c r="V108" s="2489"/>
      <c r="W108" s="2489"/>
      <c r="X108" s="2489"/>
      <c r="Y108" s="2489"/>
      <c r="Z108" s="2489"/>
      <c r="AA108" s="2483" t="s">
        <v>8</v>
      </c>
      <c r="AB108" s="2484"/>
      <c r="AC108" s="2484"/>
      <c r="AD108" s="2484"/>
      <c r="AE108" s="2484"/>
      <c r="AF108" s="2484"/>
      <c r="AG108" s="2484"/>
      <c r="AH108" s="2484"/>
      <c r="AI108" s="2485"/>
    </row>
    <row r="109" spans="3:35" s="9" customFormat="1" ht="15.75" thickBot="1" x14ac:dyDescent="0.3">
      <c r="C109" s="2486" t="s">
        <v>138</v>
      </c>
      <c r="D109" s="2487"/>
      <c r="E109" s="2487"/>
      <c r="F109" s="2486" t="s">
        <v>136</v>
      </c>
      <c r="G109" s="2487"/>
      <c r="H109" s="2487"/>
      <c r="I109" s="2480" t="s">
        <v>137</v>
      </c>
      <c r="J109" s="2481"/>
      <c r="K109" s="2481"/>
      <c r="L109" s="2481"/>
      <c r="M109" s="2481"/>
      <c r="N109" s="2481"/>
      <c r="O109" s="2481"/>
      <c r="P109" s="2481"/>
      <c r="Q109" s="2482"/>
      <c r="R109" s="2487" t="s">
        <v>137</v>
      </c>
      <c r="S109" s="2487"/>
      <c r="T109" s="2487"/>
      <c r="U109" s="2487"/>
      <c r="V109" s="2487"/>
      <c r="W109" s="2487"/>
      <c r="X109" s="2487"/>
      <c r="Y109" s="2487"/>
      <c r="Z109" s="2487"/>
      <c r="AA109" s="2480" t="s">
        <v>137</v>
      </c>
      <c r="AB109" s="2481"/>
      <c r="AC109" s="2481"/>
      <c r="AD109" s="2481"/>
      <c r="AE109" s="2481"/>
      <c r="AF109" s="2481"/>
      <c r="AG109" s="2481"/>
      <c r="AH109" s="2481"/>
      <c r="AI109" s="2482"/>
    </row>
    <row r="110" spans="3:35" s="9" customFormat="1" ht="18" thickBot="1" x14ac:dyDescent="0.3">
      <c r="C110" s="82" t="s">
        <v>3</v>
      </c>
      <c r="D110" s="66" t="s">
        <v>4</v>
      </c>
      <c r="E110" s="84" t="s">
        <v>68</v>
      </c>
      <c r="F110" s="82" t="s">
        <v>3</v>
      </c>
      <c r="G110" s="66" t="s">
        <v>4</v>
      </c>
      <c r="H110" s="84" t="s">
        <v>10</v>
      </c>
      <c r="I110" s="86" t="s">
        <v>55</v>
      </c>
      <c r="J110" s="87" t="s">
        <v>56</v>
      </c>
      <c r="K110" s="87" t="s">
        <v>57</v>
      </c>
      <c r="L110" s="87" t="s">
        <v>58</v>
      </c>
      <c r="M110" s="87" t="s">
        <v>59</v>
      </c>
      <c r="N110" s="87" t="s">
        <v>65</v>
      </c>
      <c r="O110" s="87" t="s">
        <v>61</v>
      </c>
      <c r="P110" s="87" t="s">
        <v>66</v>
      </c>
      <c r="Q110" s="88" t="s">
        <v>63</v>
      </c>
      <c r="R110" s="84" t="s">
        <v>55</v>
      </c>
      <c r="S110" s="83" t="s">
        <v>56</v>
      </c>
      <c r="T110" s="83" t="s">
        <v>57</v>
      </c>
      <c r="U110" s="83" t="s">
        <v>58</v>
      </c>
      <c r="V110" s="83" t="s">
        <v>59</v>
      </c>
      <c r="W110" s="83" t="s">
        <v>65</v>
      </c>
      <c r="X110" s="83" t="s">
        <v>61</v>
      </c>
      <c r="Y110" s="83" t="s">
        <v>62</v>
      </c>
      <c r="Z110" s="84" t="s">
        <v>63</v>
      </c>
      <c r="AA110" s="86" t="s">
        <v>55</v>
      </c>
      <c r="AB110" s="87" t="s">
        <v>56</v>
      </c>
      <c r="AC110" s="87" t="s">
        <v>57</v>
      </c>
      <c r="AD110" s="87" t="s">
        <v>58</v>
      </c>
      <c r="AE110" s="87" t="s">
        <v>59</v>
      </c>
      <c r="AF110" s="87" t="s">
        <v>60</v>
      </c>
      <c r="AG110" s="808" t="s">
        <v>61</v>
      </c>
      <c r="AH110" s="87" t="s">
        <v>62</v>
      </c>
      <c r="AI110" s="88" t="s">
        <v>63</v>
      </c>
    </row>
    <row r="111" spans="3:35" s="9" customFormat="1" ht="15.75" thickTop="1" x14ac:dyDescent="0.25">
      <c r="C111" s="1051">
        <v>2123</v>
      </c>
      <c r="D111" s="1052" t="s">
        <v>49</v>
      </c>
      <c r="E111" s="1053">
        <f>C111/100000</f>
        <v>2.1229999999999999E-2</v>
      </c>
      <c r="F111" s="1051">
        <v>32</v>
      </c>
      <c r="G111" s="1052" t="s">
        <v>25</v>
      </c>
      <c r="H111" s="1053">
        <f t="shared" ref="H111:H116" si="31">F111*1000</f>
        <v>32000</v>
      </c>
      <c r="I111" s="1051">
        <f>O111*0.00001019716</f>
        <v>15.370189354686765</v>
      </c>
      <c r="J111" s="1054">
        <f>O111*0.000009869233</f>
        <v>14.875904663212436</v>
      </c>
      <c r="K111" s="1054">
        <f>O111/100000</f>
        <v>15.073009891662743</v>
      </c>
      <c r="L111" s="1054">
        <f>O111/1000</f>
        <v>1507.3009891662741</v>
      </c>
      <c r="M111" s="1054">
        <f>O111/9.80665</f>
        <v>153701.92564905185</v>
      </c>
      <c r="N111" s="1054">
        <f>O111/1000000</f>
        <v>1.5073009891662743</v>
      </c>
      <c r="O111" s="1054">
        <f>H111/E111</f>
        <v>1507300.9891662742</v>
      </c>
      <c r="P111" s="1054">
        <f>O111*0.0001450377</f>
        <v>218.61546867640135</v>
      </c>
      <c r="Q111" s="1055">
        <f>O111*0.007500616</f>
        <v>11305.685916156383</v>
      </c>
      <c r="R111" s="1056">
        <v>15.370200000000001</v>
      </c>
      <c r="S111" s="1057">
        <v>14.8759</v>
      </c>
      <c r="T111" s="1057">
        <v>15.073</v>
      </c>
      <c r="U111" s="1057">
        <v>1507.3</v>
      </c>
      <c r="V111" s="1057">
        <v>153702</v>
      </c>
      <c r="W111" s="1057">
        <v>1.5073000000000001</v>
      </c>
      <c r="X111" s="1057">
        <v>1507301</v>
      </c>
      <c r="Y111" s="1057">
        <v>218.61500000000001</v>
      </c>
      <c r="Z111" s="1056">
        <v>11305.7</v>
      </c>
      <c r="AA111" s="980">
        <f xml:space="preserve"> (I111-R111)/I111</f>
        <v>-6.9259480086443178E-7</v>
      </c>
      <c r="AB111" s="981">
        <f t="shared" ref="AB111:AI111" si="32" xml:space="preserve"> (J111-S111)/J111</f>
        <v>3.1347420827263357E-7</v>
      </c>
      <c r="AC111" s="981">
        <f t="shared" si="32"/>
        <v>6.5625000005509183E-7</v>
      </c>
      <c r="AD111" s="981">
        <f t="shared" si="32"/>
        <v>6.5625000001737992E-7</v>
      </c>
      <c r="AE111" s="981">
        <f t="shared" si="32"/>
        <v>-4.8373465615666018E-7</v>
      </c>
      <c r="AF111" s="981">
        <f t="shared" si="32"/>
        <v>6.5625000005509183E-7</v>
      </c>
      <c r="AG111" s="1058">
        <f t="shared" si="32"/>
        <v>-7.1874999596911949E-9</v>
      </c>
      <c r="AH111" s="981">
        <f t="shared" si="32"/>
        <v>2.1438391536406142E-6</v>
      </c>
      <c r="AI111" s="982">
        <f t="shared" si="32"/>
        <v>-1.2457310173532108E-6</v>
      </c>
    </row>
    <row r="112" spans="3:35" s="9" customFormat="1" x14ac:dyDescent="0.25">
      <c r="C112" s="1059">
        <v>984</v>
      </c>
      <c r="D112" s="59" t="s">
        <v>50</v>
      </c>
      <c r="E112" s="32">
        <f>C112/10000</f>
        <v>9.8400000000000001E-2</v>
      </c>
      <c r="F112" s="1059">
        <v>198</v>
      </c>
      <c r="G112" s="59" t="s">
        <v>25</v>
      </c>
      <c r="H112" s="32">
        <f t="shared" si="31"/>
        <v>198000</v>
      </c>
      <c r="I112" s="1059">
        <f t="shared" ref="I112:I134" si="33">O112*0.00001019716</f>
        <v>20.518675609756098</v>
      </c>
      <c r="J112" s="1060">
        <f t="shared" ref="J112:J134" si="34">O112*0.000009869233</f>
        <v>19.858822499999999</v>
      </c>
      <c r="K112" s="1060">
        <f t="shared" ref="K112:K134" si="35">O112/100000</f>
        <v>20.121951219512194</v>
      </c>
      <c r="L112" s="1060">
        <f t="shared" ref="L112:L134" si="36">O112/1000</f>
        <v>2012.1951219512193</v>
      </c>
      <c r="M112" s="1060">
        <f t="shared" ref="M112:M134" si="37">O112/9.80665</f>
        <v>205186.7989528758</v>
      </c>
      <c r="N112" s="1060">
        <f t="shared" ref="N112:N134" si="38">O112/1000000</f>
        <v>2.0121951219512195</v>
      </c>
      <c r="O112" s="1060">
        <f t="shared" ref="O112:O134" si="39">H112/E112</f>
        <v>2012195.1219512194</v>
      </c>
      <c r="P112" s="1060">
        <f t="shared" ref="P112:P134" si="40">O112*0.0001450377</f>
        <v>291.84415243902441</v>
      </c>
      <c r="Q112" s="889">
        <f t="shared" ref="Q112:Q134" si="41">O112*0.007500616</f>
        <v>15092.702926829266</v>
      </c>
      <c r="R112" s="1061">
        <v>20.518699999999999</v>
      </c>
      <c r="S112" s="1062">
        <v>19.858799999999999</v>
      </c>
      <c r="T112" s="1062">
        <v>20.122</v>
      </c>
      <c r="U112" s="1062">
        <v>2012.2</v>
      </c>
      <c r="V112" s="1062">
        <v>205187</v>
      </c>
      <c r="W112" s="1062">
        <v>2.0122</v>
      </c>
      <c r="X112" s="1062">
        <v>2012195</v>
      </c>
      <c r="Y112" s="1062">
        <v>291.84399999999999</v>
      </c>
      <c r="Z112" s="1061">
        <v>15092.7</v>
      </c>
      <c r="AA112" s="897">
        <f t="shared" ref="AA112:AA134" si="42" xml:space="preserve"> (I112-R112)/I112</f>
        <v>-1.1886850966832785E-6</v>
      </c>
      <c r="AB112" s="898">
        <f t="shared" ref="AB112:AB134" si="43" xml:space="preserve"> (J112-S112)/J112</f>
        <v>1.1329976890642123E-6</v>
      </c>
      <c r="AC112" s="898">
        <f t="shared" ref="AC112:AC134" si="44" xml:space="preserve"> (K112-T112)/K112</f>
        <v>-2.4242424242755315E-6</v>
      </c>
      <c r="AD112" s="898">
        <f t="shared" ref="AD112:AD134" si="45" xml:space="preserve"> (L112-U112)/L112</f>
        <v>-2.4242424243532176E-6</v>
      </c>
      <c r="AE112" s="898">
        <f t="shared" ref="AE112:AE134" si="46" xml:space="preserve"> (M112-V112)/M112</f>
        <v>-9.798248484873754E-7</v>
      </c>
      <c r="AF112" s="898">
        <f t="shared" ref="AF112:AF134" si="47" xml:space="preserve"> (N112-W112)/N112</f>
        <v>-2.4242424242313914E-6</v>
      </c>
      <c r="AG112" s="1063">
        <f t="shared" ref="AG112:AG134" si="48" xml:space="preserve"> (O112-X112)/O112</f>
        <v>6.0606060546794628E-8</v>
      </c>
      <c r="AH112" s="898">
        <f t="shared" ref="AH112:AH134" si="49" xml:space="preserve"> (P112-Y112)/P112</f>
        <v>5.2233023394353037E-7</v>
      </c>
      <c r="AI112" s="899">
        <f t="shared" ref="AI112:AI134" si="50" xml:space="preserve"> (Q112-Z112)/Q112</f>
        <v>1.9392346617773232E-7</v>
      </c>
    </row>
    <row r="113" spans="3:35" s="9" customFormat="1" x14ac:dyDescent="0.25">
      <c r="C113" s="1059">
        <v>15</v>
      </c>
      <c r="D113" s="59" t="s">
        <v>51</v>
      </c>
      <c r="E113" s="32">
        <f>C113/10</f>
        <v>1.5</v>
      </c>
      <c r="F113" s="1059">
        <v>9498</v>
      </c>
      <c r="G113" s="59" t="s">
        <v>25</v>
      </c>
      <c r="H113" s="32">
        <f t="shared" si="31"/>
        <v>9498000</v>
      </c>
      <c r="I113" s="1059">
        <f t="shared" si="33"/>
        <v>64.568417120000007</v>
      </c>
      <c r="J113" s="1060">
        <f t="shared" si="34"/>
        <v>62.491983356000006</v>
      </c>
      <c r="K113" s="1060">
        <f t="shared" si="35"/>
        <v>63.32</v>
      </c>
      <c r="L113" s="1060">
        <f t="shared" si="36"/>
        <v>6332</v>
      </c>
      <c r="M113" s="1060">
        <f t="shared" si="37"/>
        <v>645684.30605762417</v>
      </c>
      <c r="N113" s="1060">
        <f t="shared" si="38"/>
        <v>6.3319999999999999</v>
      </c>
      <c r="O113" s="1060">
        <f t="shared" si="39"/>
        <v>6332000</v>
      </c>
      <c r="P113" s="1060">
        <f t="shared" si="40"/>
        <v>918.37871640000003</v>
      </c>
      <c r="Q113" s="889">
        <f t="shared" si="41"/>
        <v>47493.900512</v>
      </c>
      <c r="R113" s="1061">
        <v>64.568399999999997</v>
      </c>
      <c r="S113" s="1062">
        <v>62.491999999999997</v>
      </c>
      <c r="T113" s="1062">
        <v>63.32</v>
      </c>
      <c r="U113" s="1062">
        <v>6332</v>
      </c>
      <c r="V113" s="1062">
        <v>645684</v>
      </c>
      <c r="W113" s="1062">
        <v>6.3319999999999999</v>
      </c>
      <c r="X113" s="1062">
        <v>6332000</v>
      </c>
      <c r="Y113" s="1062">
        <v>918.37900000000002</v>
      </c>
      <c r="Z113" s="1061">
        <v>47493.9</v>
      </c>
      <c r="AA113" s="897">
        <f t="shared" si="42"/>
        <v>2.6514510922302955E-7</v>
      </c>
      <c r="AB113" s="898">
        <f t="shared" si="43"/>
        <v>-2.6633816207682212E-7</v>
      </c>
      <c r="AC113" s="898">
        <f t="shared" si="44"/>
        <v>0</v>
      </c>
      <c r="AD113" s="898">
        <f t="shared" si="45"/>
        <v>0</v>
      </c>
      <c r="AE113" s="898">
        <f t="shared" si="46"/>
        <v>4.740050537054732E-7</v>
      </c>
      <c r="AF113" s="898">
        <f t="shared" si="47"/>
        <v>0</v>
      </c>
      <c r="AG113" s="1063">
        <f t="shared" si="48"/>
        <v>0</v>
      </c>
      <c r="AH113" s="898">
        <f t="shared" si="49"/>
        <v>-3.0880506584531428E-7</v>
      </c>
      <c r="AI113" s="899">
        <f t="shared" si="50"/>
        <v>1.0780331646543965E-8</v>
      </c>
    </row>
    <row r="114" spans="3:35" s="9" customFormat="1" x14ac:dyDescent="0.25">
      <c r="C114" s="1059">
        <v>6189</v>
      </c>
      <c r="D114" s="59" t="s">
        <v>52</v>
      </c>
      <c r="E114" s="32">
        <f>C114/1000</f>
        <v>6.1890000000000001</v>
      </c>
      <c r="F114" s="1059">
        <v>984</v>
      </c>
      <c r="G114" s="59" t="s">
        <v>25</v>
      </c>
      <c r="H114" s="32">
        <f t="shared" si="31"/>
        <v>984000</v>
      </c>
      <c r="I114" s="1059">
        <f t="shared" si="33"/>
        <v>1.6212644110518664</v>
      </c>
      <c r="J114" s="1060">
        <f t="shared" si="34"/>
        <v>1.5691267203102279</v>
      </c>
      <c r="K114" s="1060">
        <f t="shared" si="35"/>
        <v>1.5899175957343674</v>
      </c>
      <c r="L114" s="1060">
        <f t="shared" si="36"/>
        <v>158.99175957343675</v>
      </c>
      <c r="M114" s="1060">
        <f t="shared" si="37"/>
        <v>16212.64749669222</v>
      </c>
      <c r="N114" s="1060">
        <f t="shared" si="38"/>
        <v>0.15899175957343675</v>
      </c>
      <c r="O114" s="1060">
        <f t="shared" si="39"/>
        <v>158991.75957343675</v>
      </c>
      <c r="P114" s="1060">
        <f t="shared" si="40"/>
        <v>23.059799127484247</v>
      </c>
      <c r="Q114" s="889">
        <f t="shared" si="41"/>
        <v>1192.5361357246729</v>
      </c>
      <c r="R114" s="1061">
        <v>1.6212599999999999</v>
      </c>
      <c r="S114" s="1062">
        <v>1.5691299999999999</v>
      </c>
      <c r="T114" s="1062">
        <v>1.58992</v>
      </c>
      <c r="U114" s="1062">
        <v>158.99199999999999</v>
      </c>
      <c r="V114" s="1062">
        <v>16212.6</v>
      </c>
      <c r="W114" s="1062">
        <v>0.15899199999999999</v>
      </c>
      <c r="X114" s="1062">
        <v>158992</v>
      </c>
      <c r="Y114" s="1062">
        <v>23.059799999999999</v>
      </c>
      <c r="Z114" s="1061">
        <v>1192.54</v>
      </c>
      <c r="AA114" s="897">
        <f t="shared" si="42"/>
        <v>2.720747976929728E-6</v>
      </c>
      <c r="AB114" s="898">
        <f t="shared" si="43"/>
        <v>-2.0901369720707018E-6</v>
      </c>
      <c r="AC114" s="898">
        <f t="shared" si="44"/>
        <v>-1.5121951219568612E-6</v>
      </c>
      <c r="AD114" s="898">
        <f t="shared" si="45"/>
        <v>-1.5121951218283759E-6</v>
      </c>
      <c r="AE114" s="898">
        <f t="shared" si="46"/>
        <v>2.9296074085971418E-6</v>
      </c>
      <c r="AF114" s="898">
        <f t="shared" si="47"/>
        <v>-1.5121951218521178E-6</v>
      </c>
      <c r="AG114" s="1063">
        <f t="shared" si="48"/>
        <v>-1.5121951219070313E-6</v>
      </c>
      <c r="AH114" s="898">
        <f t="shared" si="49"/>
        <v>-3.7837092477222452E-8</v>
      </c>
      <c r="AI114" s="899">
        <f t="shared" si="50"/>
        <v>-3.2403842628082336E-6</v>
      </c>
    </row>
    <row r="115" spans="3:35" s="9" customFormat="1" ht="17.25" x14ac:dyDescent="0.25">
      <c r="C115" s="1059">
        <v>189</v>
      </c>
      <c r="D115" s="59" t="s">
        <v>68</v>
      </c>
      <c r="E115" s="32">
        <f>C115</f>
        <v>189</v>
      </c>
      <c r="F115" s="1059">
        <v>921</v>
      </c>
      <c r="G115" s="59" t="s">
        <v>25</v>
      </c>
      <c r="H115" s="32">
        <f t="shared" si="31"/>
        <v>921000</v>
      </c>
      <c r="I115" s="1059">
        <f t="shared" si="33"/>
        <v>4.969092253968254E-2</v>
      </c>
      <c r="J115" s="1060">
        <f t="shared" si="34"/>
        <v>4.8092929063492065E-2</v>
      </c>
      <c r="K115" s="1060">
        <f t="shared" si="35"/>
        <v>4.8730158730158728E-2</v>
      </c>
      <c r="L115" s="1060">
        <f t="shared" si="36"/>
        <v>4.8730158730158726</v>
      </c>
      <c r="M115" s="1060">
        <f t="shared" si="37"/>
        <v>496.9093291813079</v>
      </c>
      <c r="N115" s="1060">
        <f t="shared" si="38"/>
        <v>4.8730158730158728E-3</v>
      </c>
      <c r="O115" s="1060">
        <f t="shared" si="39"/>
        <v>4873.0158730158728</v>
      </c>
      <c r="P115" s="1060">
        <f t="shared" si="40"/>
        <v>0.70677101428571432</v>
      </c>
      <c r="Q115" s="889">
        <f t="shared" si="41"/>
        <v>36.55062082539682</v>
      </c>
      <c r="R115" s="1061">
        <v>4.9690900000000003E-2</v>
      </c>
      <c r="S115" s="1062">
        <v>4.8092900000000001E-2</v>
      </c>
      <c r="T115" s="1062">
        <v>4.8730200000000001E-2</v>
      </c>
      <c r="U115" s="1062">
        <v>4.8730200000000004</v>
      </c>
      <c r="V115" s="1062">
        <v>496.90899999999999</v>
      </c>
      <c r="W115" s="1062">
        <v>4.8730199999999996E-3</v>
      </c>
      <c r="X115" s="1062">
        <v>4873.0200000000004</v>
      </c>
      <c r="Y115" s="1062">
        <v>0.70677100000000004</v>
      </c>
      <c r="Z115" s="1061">
        <v>36.550600000000003</v>
      </c>
      <c r="AA115" s="897">
        <f t="shared" si="42"/>
        <v>4.5359758654250381E-7</v>
      </c>
      <c r="AB115" s="898">
        <f t="shared" si="43"/>
        <v>6.0431944217861192E-7</v>
      </c>
      <c r="AC115" s="898">
        <f t="shared" si="44"/>
        <v>-8.4690553753562199E-7</v>
      </c>
      <c r="AD115" s="898">
        <f t="shared" si="45"/>
        <v>-8.4690553762105849E-7</v>
      </c>
      <c r="AE115" s="898">
        <f t="shared" si="46"/>
        <v>6.6245749188657845E-7</v>
      </c>
      <c r="AF115" s="898">
        <f t="shared" si="47"/>
        <v>-8.4690553742882627E-7</v>
      </c>
      <c r="AG115" s="1063">
        <f t="shared" si="48"/>
        <v>-8.469055375962705E-7</v>
      </c>
      <c r="AH115" s="898">
        <f t="shared" si="49"/>
        <v>2.0212648777953242E-8</v>
      </c>
      <c r="AI115" s="899">
        <f t="shared" si="50"/>
        <v>5.6976862079271222E-7</v>
      </c>
    </row>
    <row r="116" spans="3:35" s="9" customFormat="1" ht="15.75" thickBot="1" x14ac:dyDescent="0.3">
      <c r="C116" s="1064">
        <v>8949</v>
      </c>
      <c r="D116" s="953" t="s">
        <v>54</v>
      </c>
      <c r="E116" s="1065">
        <f>C116/1000000</f>
        <v>8.9490000000000004E-3</v>
      </c>
      <c r="F116" s="1064">
        <v>19</v>
      </c>
      <c r="G116" s="953" t="s">
        <v>25</v>
      </c>
      <c r="H116" s="1065">
        <f t="shared" si="31"/>
        <v>19000</v>
      </c>
      <c r="I116" s="1064">
        <f t="shared" si="33"/>
        <v>21.650021231422503</v>
      </c>
      <c r="J116" s="1066">
        <f t="shared" si="34"/>
        <v>20.953785562632696</v>
      </c>
      <c r="K116" s="1066">
        <f t="shared" si="35"/>
        <v>21.231422505307854</v>
      </c>
      <c r="L116" s="1066">
        <f t="shared" si="36"/>
        <v>2123.1422505307855</v>
      </c>
      <c r="M116" s="1066">
        <f t="shared" si="37"/>
        <v>216500.25753246885</v>
      </c>
      <c r="N116" s="1066">
        <f t="shared" si="38"/>
        <v>2.1231422505307855</v>
      </c>
      <c r="O116" s="1066">
        <f t="shared" si="39"/>
        <v>2123142.2505307854</v>
      </c>
      <c r="P116" s="1066">
        <f t="shared" si="40"/>
        <v>307.93566878980891</v>
      </c>
      <c r="Q116" s="954">
        <f t="shared" si="41"/>
        <v>15924.874734607218</v>
      </c>
      <c r="R116" s="1067">
        <v>21.65</v>
      </c>
      <c r="S116" s="1068">
        <v>20.953800000000001</v>
      </c>
      <c r="T116" s="1068">
        <v>21.231400000000001</v>
      </c>
      <c r="U116" s="1068">
        <v>2123.14</v>
      </c>
      <c r="V116" s="1068">
        <v>216500</v>
      </c>
      <c r="W116" s="1068">
        <v>2.1231399999999998</v>
      </c>
      <c r="X116" s="1068">
        <v>2123142</v>
      </c>
      <c r="Y116" s="1068">
        <v>307.93599999999998</v>
      </c>
      <c r="Z116" s="1067">
        <v>15924.9</v>
      </c>
      <c r="AA116" s="911">
        <f t="shared" si="42"/>
        <v>9.8066520478635106E-7</v>
      </c>
      <c r="AB116" s="912">
        <f t="shared" si="43"/>
        <v>-6.8900997684000815E-7</v>
      </c>
      <c r="AC116" s="912">
        <f t="shared" si="44"/>
        <v>1.0599999999115539E-6</v>
      </c>
      <c r="AD116" s="912">
        <f t="shared" si="45"/>
        <v>1.0600000000454203E-6</v>
      </c>
      <c r="AE116" s="912">
        <f t="shared" si="46"/>
        <v>1.1895250000467107E-6</v>
      </c>
      <c r="AF116" s="912">
        <f t="shared" si="47"/>
        <v>1.0600000000788867E-6</v>
      </c>
      <c r="AG116" s="1069">
        <f t="shared" si="48"/>
        <v>1.1799999993061647E-7</v>
      </c>
      <c r="AH116" s="912">
        <f t="shared" si="49"/>
        <v>-1.0755824174750747E-6</v>
      </c>
      <c r="AI116" s="913">
        <f t="shared" si="50"/>
        <v>-1.5865363591821513E-6</v>
      </c>
    </row>
    <row r="117" spans="3:35" s="9" customFormat="1" ht="15.75" thickTop="1" x14ac:dyDescent="0.25">
      <c r="C117" s="1431">
        <v>61</v>
      </c>
      <c r="D117" s="1333" t="s">
        <v>49</v>
      </c>
      <c r="E117" s="1334">
        <f>C117/100000</f>
        <v>6.0999999999999997E-4</v>
      </c>
      <c r="F117" s="1431">
        <v>189</v>
      </c>
      <c r="G117" s="1333" t="s">
        <v>10</v>
      </c>
      <c r="H117" s="1334">
        <f t="shared" ref="H117:H122" si="51">F117</f>
        <v>189</v>
      </c>
      <c r="I117" s="1431">
        <f t="shared" si="33"/>
        <v>3.1594479344262294</v>
      </c>
      <c r="J117" s="1442">
        <f t="shared" si="34"/>
        <v>3.0578443229508201</v>
      </c>
      <c r="K117" s="1442">
        <f t="shared" si="35"/>
        <v>3.098360655737705</v>
      </c>
      <c r="L117" s="1442">
        <f t="shared" si="36"/>
        <v>309.8360655737705</v>
      </c>
      <c r="M117" s="1442">
        <f t="shared" si="37"/>
        <v>31594.485943086631</v>
      </c>
      <c r="N117" s="1442">
        <f t="shared" si="38"/>
        <v>0.30983606557377047</v>
      </c>
      <c r="O117" s="1442">
        <f t="shared" si="39"/>
        <v>309836.06557377049</v>
      </c>
      <c r="P117" s="1442">
        <f t="shared" si="40"/>
        <v>44.937910327868856</v>
      </c>
      <c r="Q117" s="1370">
        <f t="shared" si="41"/>
        <v>2323.9613508196721</v>
      </c>
      <c r="R117" s="1443">
        <v>3.1594500000000001</v>
      </c>
      <c r="S117" s="1444">
        <v>3.0578400000000001</v>
      </c>
      <c r="T117" s="1444">
        <v>3.09836</v>
      </c>
      <c r="U117" s="1444">
        <v>309.83600000000001</v>
      </c>
      <c r="V117" s="1444">
        <v>31594.5</v>
      </c>
      <c r="W117" s="1444">
        <v>0.309836</v>
      </c>
      <c r="X117" s="1444">
        <v>309836</v>
      </c>
      <c r="Y117" s="1444">
        <v>44.937899999999999</v>
      </c>
      <c r="Z117" s="1443">
        <v>2323.96</v>
      </c>
      <c r="AA117" s="1265">
        <f t="shared" si="42"/>
        <v>-6.5377680327822239E-7</v>
      </c>
      <c r="AB117" s="1266">
        <f t="shared" si="43"/>
        <v>1.4137249524225964E-6</v>
      </c>
      <c r="AC117" s="1266">
        <f t="shared" si="44"/>
        <v>2.1164021167449364E-7</v>
      </c>
      <c r="AD117" s="1266">
        <f t="shared" si="45"/>
        <v>2.1164021161716147E-7</v>
      </c>
      <c r="AE117" s="1266">
        <f t="shared" si="46"/>
        <v>-4.4491666661243401E-7</v>
      </c>
      <c r="AF117" s="1266">
        <f t="shared" si="47"/>
        <v>2.1164021156699587E-7</v>
      </c>
      <c r="AG117" s="1445">
        <f t="shared" si="48"/>
        <v>2.1164021164945095E-7</v>
      </c>
      <c r="AH117" s="1266">
        <f t="shared" si="49"/>
        <v>2.2982530299397481E-7</v>
      </c>
      <c r="AI117" s="1267">
        <f t="shared" si="50"/>
        <v>5.8125737401840762E-7</v>
      </c>
    </row>
    <row r="118" spans="3:35" s="9" customFormat="1" x14ac:dyDescent="0.25">
      <c r="C118" s="1435">
        <v>165</v>
      </c>
      <c r="D118" s="1269" t="s">
        <v>50</v>
      </c>
      <c r="E118" s="1254">
        <f>C118/10000</f>
        <v>1.6500000000000001E-2</v>
      </c>
      <c r="F118" s="1435">
        <v>498498</v>
      </c>
      <c r="G118" s="1269" t="s">
        <v>10</v>
      </c>
      <c r="H118" s="1254">
        <f t="shared" si="51"/>
        <v>498498</v>
      </c>
      <c r="I118" s="1435">
        <f t="shared" si="33"/>
        <v>308.07659791999998</v>
      </c>
      <c r="J118" s="1446">
        <f t="shared" si="34"/>
        <v>298.16926739600001</v>
      </c>
      <c r="K118" s="1446">
        <f t="shared" si="35"/>
        <v>302.12</v>
      </c>
      <c r="L118" s="1446">
        <f t="shared" si="36"/>
        <v>30212</v>
      </c>
      <c r="M118" s="1446">
        <f t="shared" si="37"/>
        <v>3080766.6226489171</v>
      </c>
      <c r="N118" s="1446">
        <f t="shared" si="38"/>
        <v>30.212</v>
      </c>
      <c r="O118" s="1446">
        <f t="shared" si="39"/>
        <v>30212000</v>
      </c>
      <c r="P118" s="1446">
        <f t="shared" si="40"/>
        <v>4381.8789924000002</v>
      </c>
      <c r="Q118" s="1270">
        <f t="shared" si="41"/>
        <v>226608.61059199998</v>
      </c>
      <c r="R118" s="1447">
        <v>308.077</v>
      </c>
      <c r="S118" s="1448">
        <v>298.16899999999998</v>
      </c>
      <c r="T118" s="1448">
        <v>302.12</v>
      </c>
      <c r="U118" s="1448">
        <v>30212</v>
      </c>
      <c r="V118" s="1448">
        <v>3080767</v>
      </c>
      <c r="W118" s="1448">
        <v>30.212</v>
      </c>
      <c r="X118" s="1448">
        <v>30212000</v>
      </c>
      <c r="Y118" s="1448">
        <v>4381.88</v>
      </c>
      <c r="Z118" s="1447">
        <v>226609</v>
      </c>
      <c r="AA118" s="1277">
        <f t="shared" si="42"/>
        <v>-1.3051299667989023E-6</v>
      </c>
      <c r="AB118" s="1278">
        <f t="shared" si="43"/>
        <v>8.9679262508109289E-7</v>
      </c>
      <c r="AC118" s="1278">
        <f t="shared" si="44"/>
        <v>0</v>
      </c>
      <c r="AD118" s="1278">
        <f t="shared" si="45"/>
        <v>0</v>
      </c>
      <c r="AE118" s="1278">
        <f t="shared" si="46"/>
        <v>-1.2248609813130473E-7</v>
      </c>
      <c r="AF118" s="1278">
        <f t="shared" si="47"/>
        <v>0</v>
      </c>
      <c r="AG118" s="1449">
        <f t="shared" si="48"/>
        <v>0</v>
      </c>
      <c r="AH118" s="1278">
        <f t="shared" si="49"/>
        <v>-2.2994701624892262E-7</v>
      </c>
      <c r="AI118" s="1279">
        <f t="shared" si="50"/>
        <v>-1.7184166082655944E-6</v>
      </c>
    </row>
    <row r="119" spans="3:35" s="9" customFormat="1" x14ac:dyDescent="0.25">
      <c r="C119" s="1435">
        <v>198</v>
      </c>
      <c r="D119" s="1269" t="s">
        <v>51</v>
      </c>
      <c r="E119" s="1254">
        <f>C119/10</f>
        <v>19.8</v>
      </c>
      <c r="F119" s="1435">
        <v>7484</v>
      </c>
      <c r="G119" s="1269" t="s">
        <v>10</v>
      </c>
      <c r="H119" s="1254">
        <f t="shared" si="51"/>
        <v>7484</v>
      </c>
      <c r="I119" s="1435">
        <f t="shared" si="33"/>
        <v>3.8543204767676766E-3</v>
      </c>
      <c r="J119" s="1446">
        <f t="shared" si="34"/>
        <v>3.7303706955555556E-3</v>
      </c>
      <c r="K119" s="1446">
        <f t="shared" si="35"/>
        <v>3.7797979797979798E-3</v>
      </c>
      <c r="L119" s="1446">
        <f t="shared" si="36"/>
        <v>0.37797979797979797</v>
      </c>
      <c r="M119" s="1446">
        <f t="shared" si="37"/>
        <v>38.543212817812197</v>
      </c>
      <c r="N119" s="1446">
        <f t="shared" si="38"/>
        <v>3.7797979797979798E-4</v>
      </c>
      <c r="O119" s="1446">
        <f t="shared" si="39"/>
        <v>377.97979797979798</v>
      </c>
      <c r="P119" s="1446">
        <f t="shared" si="40"/>
        <v>5.4821320545454549E-2</v>
      </c>
      <c r="Q119" s="1270">
        <f t="shared" si="41"/>
        <v>2.8350813204040404</v>
      </c>
      <c r="R119" s="1447">
        <v>3.8543200000000001E-3</v>
      </c>
      <c r="S119" s="1448">
        <v>3.7303700000000002E-3</v>
      </c>
      <c r="T119" s="1448">
        <v>3.7797999999999998E-3</v>
      </c>
      <c r="U119" s="1448">
        <v>0.37797999999999998</v>
      </c>
      <c r="V119" s="1448">
        <v>38.543199999999999</v>
      </c>
      <c r="W119" s="1448">
        <v>3.7797999999999998E-4</v>
      </c>
      <c r="X119" s="1448">
        <v>377.98</v>
      </c>
      <c r="Y119" s="1448">
        <v>5.4821300000000003E-2</v>
      </c>
      <c r="Z119" s="1447">
        <v>2.83508</v>
      </c>
      <c r="AA119" s="1277">
        <f t="shared" si="42"/>
        <v>1.236969472121719E-7</v>
      </c>
      <c r="AB119" s="1278">
        <f t="shared" si="43"/>
        <v>1.864574896685803E-7</v>
      </c>
      <c r="AC119" s="1278">
        <f t="shared" si="44"/>
        <v>-5.3447354350426665E-7</v>
      </c>
      <c r="AD119" s="1278">
        <f t="shared" si="45"/>
        <v>-5.3447354353639291E-7</v>
      </c>
      <c r="AE119" s="1278">
        <f t="shared" si="46"/>
        <v>3.3255692147135542E-7</v>
      </c>
      <c r="AF119" s="1278">
        <f t="shared" si="47"/>
        <v>-5.3447354350426665E-7</v>
      </c>
      <c r="AG119" s="1449">
        <f t="shared" si="48"/>
        <v>-5.344735436092369E-7</v>
      </c>
      <c r="AH119" s="1278">
        <f t="shared" si="49"/>
        <v>3.7477124486557781E-7</v>
      </c>
      <c r="AI119" s="1279">
        <f t="shared" si="50"/>
        <v>4.6573762481701748E-7</v>
      </c>
    </row>
    <row r="120" spans="3:35" s="9" customFormat="1" x14ac:dyDescent="0.25">
      <c r="C120" s="1435">
        <v>498</v>
      </c>
      <c r="D120" s="1269" t="s">
        <v>52</v>
      </c>
      <c r="E120" s="1254">
        <f>C120/1000</f>
        <v>0.498</v>
      </c>
      <c r="F120" s="1435">
        <v>418</v>
      </c>
      <c r="G120" s="1269" t="s">
        <v>10</v>
      </c>
      <c r="H120" s="1254">
        <f t="shared" si="51"/>
        <v>418</v>
      </c>
      <c r="I120" s="1435">
        <f t="shared" si="33"/>
        <v>8.5590620080321297E-3</v>
      </c>
      <c r="J120" s="1446">
        <f t="shared" si="34"/>
        <v>8.2838140441767079E-3</v>
      </c>
      <c r="K120" s="1446">
        <f t="shared" si="35"/>
        <v>8.3935742971887554E-3</v>
      </c>
      <c r="L120" s="1446">
        <f t="shared" si="36"/>
        <v>0.8393574297188755</v>
      </c>
      <c r="M120" s="1446">
        <f t="shared" si="37"/>
        <v>85.590637956781933</v>
      </c>
      <c r="N120" s="1446">
        <f t="shared" si="38"/>
        <v>8.393574297188756E-4</v>
      </c>
      <c r="O120" s="1446">
        <f t="shared" si="39"/>
        <v>839.35742971887555</v>
      </c>
      <c r="P120" s="1446">
        <f t="shared" si="40"/>
        <v>0.12173847108433736</v>
      </c>
      <c r="Q120" s="1270">
        <f t="shared" si="41"/>
        <v>6.2956977670682734</v>
      </c>
      <c r="R120" s="1447">
        <v>8.5590600000000003E-3</v>
      </c>
      <c r="S120" s="1448">
        <v>8.2838100000000008E-3</v>
      </c>
      <c r="T120" s="1448">
        <v>8.3935699999999995E-3</v>
      </c>
      <c r="U120" s="1448">
        <v>0.83935700000000002</v>
      </c>
      <c r="V120" s="1448">
        <v>85.590599999999995</v>
      </c>
      <c r="W120" s="1448">
        <v>8.3935699999999999E-4</v>
      </c>
      <c r="X120" s="1448">
        <v>839.35699999999997</v>
      </c>
      <c r="Y120" s="1448">
        <v>0.121738</v>
      </c>
      <c r="Z120" s="1447">
        <v>6.2957000000000001</v>
      </c>
      <c r="AA120" s="1277">
        <f t="shared" si="42"/>
        <v>2.3460890078598973E-7</v>
      </c>
      <c r="AB120" s="1278">
        <f t="shared" si="43"/>
        <v>4.8820225629078543E-7</v>
      </c>
      <c r="AC120" s="1278">
        <f t="shared" si="44"/>
        <v>5.1196172258957928E-7</v>
      </c>
      <c r="AD120" s="1278">
        <f t="shared" si="45"/>
        <v>5.1196172246557556E-7</v>
      </c>
      <c r="AE120" s="1278">
        <f t="shared" si="46"/>
        <v>4.434688517817842E-7</v>
      </c>
      <c r="AF120" s="1278">
        <f t="shared" si="47"/>
        <v>5.1196172261541326E-7</v>
      </c>
      <c r="AG120" s="1449">
        <f t="shared" si="48"/>
        <v>5.1196172258091551E-7</v>
      </c>
      <c r="AH120" s="1278">
        <f t="shared" si="49"/>
        <v>3.8696423009294576E-6</v>
      </c>
      <c r="AI120" s="1279">
        <f t="shared" si="50"/>
        <v>-3.5467581342790628E-7</v>
      </c>
    </row>
    <row r="121" spans="3:35" s="9" customFormat="1" ht="17.25" x14ac:dyDescent="0.25">
      <c r="C121" s="1435">
        <v>289</v>
      </c>
      <c r="D121" s="1269" t="s">
        <v>68</v>
      </c>
      <c r="E121" s="1254">
        <f>C121</f>
        <v>289</v>
      </c>
      <c r="F121" s="1435">
        <v>189</v>
      </c>
      <c r="G121" s="1269" t="s">
        <v>10</v>
      </c>
      <c r="H121" s="1254">
        <f t="shared" si="51"/>
        <v>189</v>
      </c>
      <c r="I121" s="1435">
        <f t="shared" si="33"/>
        <v>6.6687309342560555E-6</v>
      </c>
      <c r="J121" s="1446">
        <f t="shared" si="34"/>
        <v>6.4542734844290664E-6</v>
      </c>
      <c r="K121" s="1446">
        <f t="shared" si="35"/>
        <v>6.5397923875432531E-6</v>
      </c>
      <c r="L121" s="1446">
        <f t="shared" si="36"/>
        <v>6.5397923875432529E-4</v>
      </c>
      <c r="M121" s="1446">
        <f t="shared" si="37"/>
        <v>6.6687323270874899E-2</v>
      </c>
      <c r="N121" s="1446">
        <f t="shared" si="38"/>
        <v>6.5397923875432527E-7</v>
      </c>
      <c r="O121" s="1446">
        <f t="shared" si="39"/>
        <v>0.65397923875432529</v>
      </c>
      <c r="P121" s="1446">
        <f t="shared" si="40"/>
        <v>9.4851644636678216E-5</v>
      </c>
      <c r="Q121" s="1270">
        <f t="shared" si="41"/>
        <v>4.9052471418685123E-3</v>
      </c>
      <c r="R121" s="1450">
        <v>6.6687309342560597E-6</v>
      </c>
      <c r="S121" s="1463">
        <v>6.4542734844290698E-6</v>
      </c>
      <c r="T121" s="1463">
        <v>6.5397923875432497E-6</v>
      </c>
      <c r="U121" s="1448">
        <v>6.5397899999999995E-4</v>
      </c>
      <c r="V121" s="1448">
        <v>6.6687300000000005E-2</v>
      </c>
      <c r="W121" s="1463">
        <v>6.5397923875432495E-7</v>
      </c>
      <c r="X121" s="1448">
        <v>0.65397899999999998</v>
      </c>
      <c r="Y121" s="1463">
        <v>9.4851644636678202E-5</v>
      </c>
      <c r="Z121" s="1447">
        <v>4.9052499999999999E-3</v>
      </c>
      <c r="AA121" s="1277">
        <f t="shared" si="42"/>
        <v>-6.3507806478084646E-16</v>
      </c>
      <c r="AB121" s="1278">
        <f t="shared" si="43"/>
        <v>-5.2494394561852216E-16</v>
      </c>
      <c r="AC121" s="1278">
        <f t="shared" si="44"/>
        <v>5.1807941112485248E-16</v>
      </c>
      <c r="AD121" s="1278">
        <f t="shared" si="45"/>
        <v>3.6507936519927007E-7</v>
      </c>
      <c r="AE121" s="1278">
        <f t="shared" si="46"/>
        <v>3.4895500002616007E-7</v>
      </c>
      <c r="AF121" s="1278">
        <f t="shared" si="47"/>
        <v>4.8569944792954924E-16</v>
      </c>
      <c r="AG121" s="1449">
        <f t="shared" si="48"/>
        <v>3.6507936515682901E-7</v>
      </c>
      <c r="AH121" s="1278">
        <f t="shared" si="49"/>
        <v>1.4288130910097233E-16</v>
      </c>
      <c r="AI121" s="1279">
        <f t="shared" si="50"/>
        <v>-5.8266819283434637E-7</v>
      </c>
    </row>
    <row r="122" spans="3:35" s="9" customFormat="1" ht="15.75" thickBot="1" x14ac:dyDescent="0.3">
      <c r="C122" s="1440">
        <v>8516</v>
      </c>
      <c r="D122" s="1348" t="s">
        <v>54</v>
      </c>
      <c r="E122" s="1351">
        <f>C122/1000000</f>
        <v>8.5159999999999993E-3</v>
      </c>
      <c r="F122" s="1440">
        <v>5125</v>
      </c>
      <c r="G122" s="1348" t="s">
        <v>10</v>
      </c>
      <c r="H122" s="1351">
        <f t="shared" si="51"/>
        <v>5125</v>
      </c>
      <c r="I122" s="1440">
        <f t="shared" si="33"/>
        <v>6.1367361437294505</v>
      </c>
      <c r="J122" s="1451">
        <f t="shared" si="34"/>
        <v>5.9393869334194465</v>
      </c>
      <c r="K122" s="1451">
        <f t="shared" si="35"/>
        <v>6.0180836073273838</v>
      </c>
      <c r="L122" s="1451">
        <f t="shared" si="36"/>
        <v>601.80836073273838</v>
      </c>
      <c r="M122" s="1451">
        <f t="shared" si="37"/>
        <v>61367.374254484297</v>
      </c>
      <c r="N122" s="1451">
        <f t="shared" si="38"/>
        <v>0.60180836073273836</v>
      </c>
      <c r="O122" s="1451">
        <f t="shared" si="39"/>
        <v>601808.36073273839</v>
      </c>
      <c r="P122" s="1451">
        <f t="shared" si="40"/>
        <v>87.284900481446698</v>
      </c>
      <c r="Q122" s="1375">
        <f t="shared" si="41"/>
        <v>4513.9334194457497</v>
      </c>
      <c r="R122" s="1452">
        <v>6.1367399999999996</v>
      </c>
      <c r="S122" s="1453">
        <v>5.9393900000000004</v>
      </c>
      <c r="T122" s="1453">
        <v>6.0180800000000003</v>
      </c>
      <c r="U122" s="1453">
        <v>601.80799999999999</v>
      </c>
      <c r="V122" s="1453">
        <v>61367.4</v>
      </c>
      <c r="W122" s="1453">
        <v>0.60180800000000001</v>
      </c>
      <c r="X122" s="1453">
        <v>601808</v>
      </c>
      <c r="Y122" s="1453">
        <v>87.284899999999993</v>
      </c>
      <c r="Z122" s="1452">
        <v>4513.93</v>
      </c>
      <c r="AA122" s="1296">
        <f t="shared" si="42"/>
        <v>-6.2839112824620611E-7</v>
      </c>
      <c r="AB122" s="1297">
        <f t="shared" si="43"/>
        <v>-5.1631264107064482E-7</v>
      </c>
      <c r="AC122" s="1297">
        <f t="shared" si="44"/>
        <v>5.9941463410014912E-7</v>
      </c>
      <c r="AD122" s="1297">
        <f t="shared" si="45"/>
        <v>5.9941463416508648E-7</v>
      </c>
      <c r="AE122" s="1297">
        <f t="shared" si="46"/>
        <v>-4.1953099700120037E-7</v>
      </c>
      <c r="AF122" s="1297">
        <f t="shared" si="47"/>
        <v>5.9941463410014912E-7</v>
      </c>
      <c r="AG122" s="1454">
        <f t="shared" si="48"/>
        <v>5.9941463417868781E-7</v>
      </c>
      <c r="AH122" s="1297">
        <f t="shared" si="49"/>
        <v>5.5158074543227791E-9</v>
      </c>
      <c r="AI122" s="1298">
        <f t="shared" si="50"/>
        <v>7.5753127741229679E-7</v>
      </c>
    </row>
    <row r="123" spans="3:35" s="9" customFormat="1" ht="15.75" thickTop="1" x14ac:dyDescent="0.25">
      <c r="C123" s="313">
        <v>169</v>
      </c>
      <c r="D123" s="61" t="s">
        <v>49</v>
      </c>
      <c r="E123" s="45">
        <f>C123/100000</f>
        <v>1.6900000000000001E-3</v>
      </c>
      <c r="F123" s="313">
        <v>9849</v>
      </c>
      <c r="G123" s="61" t="s">
        <v>11</v>
      </c>
      <c r="H123" s="45">
        <f t="shared" ref="H123:H128" si="52">F123*4.187*1000</f>
        <v>41237763.000000007</v>
      </c>
      <c r="I123" s="313">
        <f t="shared" si="33"/>
        <v>248821.34162904145</v>
      </c>
      <c r="J123" s="314">
        <f t="shared" si="34"/>
        <v>240819.58073714736</v>
      </c>
      <c r="K123" s="314">
        <f t="shared" si="35"/>
        <v>244010.43195266274</v>
      </c>
      <c r="L123" s="314">
        <f t="shared" si="36"/>
        <v>24401043.195266273</v>
      </c>
      <c r="M123" s="314">
        <f t="shared" si="37"/>
        <v>2488213935.9787769</v>
      </c>
      <c r="N123" s="314">
        <f t="shared" si="38"/>
        <v>24401.043195266273</v>
      </c>
      <c r="O123" s="314">
        <f t="shared" si="39"/>
        <v>24401043195.266273</v>
      </c>
      <c r="P123" s="314">
        <f t="shared" si="40"/>
        <v>3539071.1826420715</v>
      </c>
      <c r="Q123" s="48">
        <f t="shared" si="41"/>
        <v>183022855.00710532</v>
      </c>
      <c r="R123" s="644">
        <v>248821</v>
      </c>
      <c r="S123" s="645">
        <v>240820</v>
      </c>
      <c r="T123" s="645">
        <v>244010</v>
      </c>
      <c r="U123" s="645">
        <v>24401043</v>
      </c>
      <c r="V123" s="645">
        <v>2488213936</v>
      </c>
      <c r="W123" s="645">
        <v>24401</v>
      </c>
      <c r="X123" s="645">
        <v>24401043195</v>
      </c>
      <c r="Y123" s="645">
        <v>3539071</v>
      </c>
      <c r="Z123" s="644">
        <v>183022855</v>
      </c>
      <c r="AA123" s="190">
        <f t="shared" si="42"/>
        <v>1.3729893071449721E-6</v>
      </c>
      <c r="AB123" s="191">
        <f t="shared" si="43"/>
        <v>-1.7409832346389971E-6</v>
      </c>
      <c r="AC123" s="191">
        <f t="shared" si="44"/>
        <v>1.7702221141949922E-6</v>
      </c>
      <c r="AD123" s="191">
        <f t="shared" si="45"/>
        <v>8.0023739686083348E-9</v>
      </c>
      <c r="AE123" s="191">
        <f t="shared" si="46"/>
        <v>-8.5294386991511924E-12</v>
      </c>
      <c r="AF123" s="191">
        <f t="shared" si="47"/>
        <v>1.7702221141651741E-6</v>
      </c>
      <c r="AG123" s="659">
        <f t="shared" si="48"/>
        <v>1.0912381753695371E-11</v>
      </c>
      <c r="AH123" s="191">
        <f t="shared" si="49"/>
        <v>5.1607346131851707E-8</v>
      </c>
      <c r="AI123" s="192">
        <f t="shared" si="50"/>
        <v>3.8822040513937644E-11</v>
      </c>
    </row>
    <row r="124" spans="3:35" s="9" customFormat="1" x14ac:dyDescent="0.25">
      <c r="C124" s="310">
        <v>194</v>
      </c>
      <c r="D124" s="62" t="s">
        <v>50</v>
      </c>
      <c r="E124" s="34">
        <f>C124/10000</f>
        <v>1.9400000000000001E-2</v>
      </c>
      <c r="F124" s="310">
        <v>949</v>
      </c>
      <c r="G124" s="62" t="s">
        <v>11</v>
      </c>
      <c r="H124" s="34">
        <f t="shared" si="52"/>
        <v>3973463</v>
      </c>
      <c r="I124" s="310">
        <f t="shared" si="33"/>
        <v>2088.5586579938144</v>
      </c>
      <c r="J124" s="117">
        <f t="shared" si="34"/>
        <v>2021.3934105092269</v>
      </c>
      <c r="K124" s="117">
        <f t="shared" si="35"/>
        <v>2048.1768041237115</v>
      </c>
      <c r="L124" s="117">
        <f t="shared" si="36"/>
        <v>204817.68041237112</v>
      </c>
      <c r="M124" s="117">
        <f t="shared" si="37"/>
        <v>20885590.942102671</v>
      </c>
      <c r="N124" s="117">
        <f t="shared" si="38"/>
        <v>204.81768041237112</v>
      </c>
      <c r="O124" s="117">
        <f t="shared" si="39"/>
        <v>204817680.41237113</v>
      </c>
      <c r="P124" s="117">
        <f t="shared" si="40"/>
        <v>29706.285286345363</v>
      </c>
      <c r="Q124" s="35">
        <f t="shared" si="41"/>
        <v>1536258.7707839175</v>
      </c>
      <c r="R124" s="629">
        <v>2088.56</v>
      </c>
      <c r="S124" s="630">
        <v>2021.39</v>
      </c>
      <c r="T124" s="630">
        <v>2048.1799999999998</v>
      </c>
      <c r="U124" s="630">
        <v>204818</v>
      </c>
      <c r="V124" s="630">
        <v>20885591</v>
      </c>
      <c r="W124" s="630">
        <v>204.81800000000001</v>
      </c>
      <c r="X124" s="630">
        <v>204817680</v>
      </c>
      <c r="Y124" s="630">
        <v>29706.3</v>
      </c>
      <c r="Z124" s="629">
        <v>1536259</v>
      </c>
      <c r="AA124" s="155">
        <f t="shared" si="42"/>
        <v>-6.425513501186147E-7</v>
      </c>
      <c r="AB124" s="156">
        <f t="shared" si="43"/>
        <v>1.6872070568080312E-6</v>
      </c>
      <c r="AC124" s="156">
        <f t="shared" si="44"/>
        <v>-1.5603517635483498E-6</v>
      </c>
      <c r="AD124" s="156">
        <f t="shared" si="45"/>
        <v>-1.5603517637614944E-6</v>
      </c>
      <c r="AE124" s="156">
        <f t="shared" si="46"/>
        <v>-2.7721183226724387E-9</v>
      </c>
      <c r="AF124" s="156">
        <f t="shared" si="47"/>
        <v>-1.5603517638258819E-6</v>
      </c>
      <c r="AG124" s="660">
        <f t="shared" si="48"/>
        <v>2.0133570889352951E-9</v>
      </c>
      <c r="AH124" s="156">
        <f t="shared" si="49"/>
        <v>-4.9530442782569091E-7</v>
      </c>
      <c r="AI124" s="157">
        <f t="shared" si="50"/>
        <v>-1.4920408387337742E-7</v>
      </c>
    </row>
    <row r="125" spans="3:35" s="9" customFormat="1" x14ac:dyDescent="0.25">
      <c r="C125" s="310">
        <v>194</v>
      </c>
      <c r="D125" s="62" t="s">
        <v>51</v>
      </c>
      <c r="E125" s="34">
        <f>C125/10</f>
        <v>19.399999999999999</v>
      </c>
      <c r="F125" s="310">
        <v>984</v>
      </c>
      <c r="G125" s="62" t="s">
        <v>11</v>
      </c>
      <c r="H125" s="34">
        <f t="shared" si="52"/>
        <v>4120008.0000000009</v>
      </c>
      <c r="I125" s="310">
        <f t="shared" si="33"/>
        <v>2.1655866380041244</v>
      </c>
      <c r="J125" s="117">
        <f t="shared" si="34"/>
        <v>2.0959442739105163</v>
      </c>
      <c r="K125" s="117">
        <f t="shared" si="35"/>
        <v>2.1237154639175264</v>
      </c>
      <c r="L125" s="117">
        <f t="shared" si="36"/>
        <v>212.37154639175264</v>
      </c>
      <c r="M125" s="117">
        <f t="shared" si="37"/>
        <v>21655.870903086441</v>
      </c>
      <c r="N125" s="117">
        <f t="shared" si="38"/>
        <v>0.21237154639175262</v>
      </c>
      <c r="O125" s="117">
        <f t="shared" si="39"/>
        <v>212371.54639175264</v>
      </c>
      <c r="P125" s="117">
        <f t="shared" si="40"/>
        <v>30.801880634103103</v>
      </c>
      <c r="Q125" s="35">
        <f t="shared" si="41"/>
        <v>1592.917418810722</v>
      </c>
      <c r="R125" s="629">
        <v>2.1655899999999999</v>
      </c>
      <c r="S125" s="630">
        <v>2.0959400000000001</v>
      </c>
      <c r="T125" s="630">
        <v>2.1237200000000001</v>
      </c>
      <c r="U125" s="630">
        <v>212.37200000000001</v>
      </c>
      <c r="V125" s="630">
        <v>21655.9</v>
      </c>
      <c r="W125" s="630">
        <v>0.21237200000000001</v>
      </c>
      <c r="X125" s="630">
        <v>212372</v>
      </c>
      <c r="Y125" s="630">
        <v>30.8019</v>
      </c>
      <c r="Z125" s="629">
        <v>1592.92</v>
      </c>
      <c r="AA125" s="155">
        <f t="shared" si="42"/>
        <v>-1.5524642683292626E-6</v>
      </c>
      <c r="AB125" s="156">
        <f t="shared" si="43"/>
        <v>2.0391336589247597E-6</v>
      </c>
      <c r="AC125" s="156">
        <f t="shared" si="44"/>
        <v>-2.1359181824061039E-6</v>
      </c>
      <c r="AD125" s="156">
        <f t="shared" si="45"/>
        <v>-2.1359181824311968E-6</v>
      </c>
      <c r="AE125" s="156">
        <f t="shared" si="46"/>
        <v>-1.3436039441944064E-6</v>
      </c>
      <c r="AF125" s="156">
        <f t="shared" si="47"/>
        <v>-2.1359181824845201E-6</v>
      </c>
      <c r="AG125" s="660">
        <f t="shared" si="48"/>
        <v>-2.1359181824076429E-6</v>
      </c>
      <c r="AH125" s="156">
        <f t="shared" si="49"/>
        <v>-6.2872449662476212E-7</v>
      </c>
      <c r="AI125" s="157">
        <f t="shared" si="50"/>
        <v>-1.620416254859272E-6</v>
      </c>
    </row>
    <row r="126" spans="3:35" s="9" customFormat="1" x14ac:dyDescent="0.25">
      <c r="C126" s="310">
        <v>489</v>
      </c>
      <c r="D126" s="62" t="s">
        <v>52</v>
      </c>
      <c r="E126" s="34">
        <f>C126/1000</f>
        <v>0.48899999999999999</v>
      </c>
      <c r="F126" s="310">
        <v>98</v>
      </c>
      <c r="G126" s="62" t="s">
        <v>11</v>
      </c>
      <c r="H126" s="34">
        <f t="shared" si="52"/>
        <v>410326</v>
      </c>
      <c r="I126" s="310">
        <f t="shared" si="33"/>
        <v>8.5565641598364017</v>
      </c>
      <c r="J126" s="117">
        <f t="shared" si="34"/>
        <v>8.2813965234314928</v>
      </c>
      <c r="K126" s="117">
        <f t="shared" si="35"/>
        <v>8.3911247443762775</v>
      </c>
      <c r="L126" s="117">
        <f t="shared" si="36"/>
        <v>839.11247443762784</v>
      </c>
      <c r="M126" s="117">
        <f t="shared" si="37"/>
        <v>85565.65946960765</v>
      </c>
      <c r="N126" s="117">
        <f t="shared" si="38"/>
        <v>0.83911247443762782</v>
      </c>
      <c r="O126" s="117">
        <f t="shared" si="39"/>
        <v>839112.47443762782</v>
      </c>
      <c r="P126" s="117">
        <f t="shared" si="40"/>
        <v>121.70294333374234</v>
      </c>
      <c r="Q126" s="35">
        <f t="shared" si="41"/>
        <v>6293.860451566462</v>
      </c>
      <c r="R126" s="629">
        <v>8.5565599999999993</v>
      </c>
      <c r="S126" s="630">
        <v>8.2813999999999997</v>
      </c>
      <c r="T126" s="630">
        <v>8.3911200000000008</v>
      </c>
      <c r="U126" s="630">
        <v>839.11199999999997</v>
      </c>
      <c r="V126" s="630">
        <v>85565.7</v>
      </c>
      <c r="W126" s="630">
        <v>0.83911199999999997</v>
      </c>
      <c r="X126" s="630">
        <v>839112</v>
      </c>
      <c r="Y126" s="630">
        <v>121.703</v>
      </c>
      <c r="Z126" s="629">
        <v>6293.86</v>
      </c>
      <c r="AA126" s="155">
        <f t="shared" si="42"/>
        <v>4.8615733193198105E-7</v>
      </c>
      <c r="AB126" s="156">
        <f t="shared" si="43"/>
        <v>-4.1980461834164217E-7</v>
      </c>
      <c r="AC126" s="156">
        <f t="shared" si="44"/>
        <v>5.6540409316553665E-7</v>
      </c>
      <c r="AD126" s="156">
        <f t="shared" si="45"/>
        <v>5.6540409340263461E-7</v>
      </c>
      <c r="AE126" s="156">
        <f t="shared" si="46"/>
        <v>-4.736759185679231E-7</v>
      </c>
      <c r="AF126" s="156">
        <f t="shared" si="47"/>
        <v>5.6540409337723125E-7</v>
      </c>
      <c r="AG126" s="660">
        <f t="shared" si="48"/>
        <v>5.6540409334627304E-7</v>
      </c>
      <c r="AH126" s="156">
        <f t="shared" si="49"/>
        <v>-4.656112342961328E-7</v>
      </c>
      <c r="AI126" s="157">
        <f t="shared" si="50"/>
        <v>7.1747136080244914E-8</v>
      </c>
    </row>
    <row r="127" spans="3:35" s="9" customFormat="1" ht="17.25" x14ac:dyDescent="0.25">
      <c r="C127" s="310">
        <v>85</v>
      </c>
      <c r="D127" s="62" t="s">
        <v>68</v>
      </c>
      <c r="E127" s="34">
        <f>C127</f>
        <v>85</v>
      </c>
      <c r="F127" s="310">
        <v>9849</v>
      </c>
      <c r="G127" s="62" t="s">
        <v>11</v>
      </c>
      <c r="H127" s="34">
        <f t="shared" si="52"/>
        <v>41237763.000000007</v>
      </c>
      <c r="I127" s="310">
        <f t="shared" si="33"/>
        <v>4.9471537335656484</v>
      </c>
      <c r="J127" s="117">
        <f t="shared" si="34"/>
        <v>4.7880598993621071</v>
      </c>
      <c r="K127" s="117">
        <f t="shared" si="35"/>
        <v>4.8515015294117658</v>
      </c>
      <c r="L127" s="117">
        <f t="shared" si="36"/>
        <v>485.15015294117654</v>
      </c>
      <c r="M127" s="117">
        <f t="shared" si="37"/>
        <v>49471.547668283929</v>
      </c>
      <c r="N127" s="117">
        <f t="shared" si="38"/>
        <v>0.48515015294117653</v>
      </c>
      <c r="O127" s="117">
        <f t="shared" si="39"/>
        <v>485150.15294117655</v>
      </c>
      <c r="P127" s="117">
        <f t="shared" si="40"/>
        <v>70.365062337236481</v>
      </c>
      <c r="Q127" s="35">
        <f t="shared" si="41"/>
        <v>3638.9249995530358</v>
      </c>
      <c r="R127" s="629">
        <v>4.9471499999999997</v>
      </c>
      <c r="S127" s="630">
        <v>4.7880599999999998</v>
      </c>
      <c r="T127" s="630">
        <v>4.8514999999999997</v>
      </c>
      <c r="U127" s="630">
        <v>485.15</v>
      </c>
      <c r="V127" s="630">
        <v>49471.5</v>
      </c>
      <c r="W127" s="630">
        <v>0.48515000000000003</v>
      </c>
      <c r="X127" s="630">
        <v>485150</v>
      </c>
      <c r="Y127" s="630">
        <v>70.365099999999998</v>
      </c>
      <c r="Z127" s="629">
        <v>3638.92</v>
      </c>
      <c r="AA127" s="155">
        <f t="shared" si="42"/>
        <v>7.5468963564102568E-7</v>
      </c>
      <c r="AB127" s="156">
        <f t="shared" si="43"/>
        <v>-2.1018511631277371E-8</v>
      </c>
      <c r="AC127" s="156">
        <f t="shared" si="44"/>
        <v>3.1524503431554138E-7</v>
      </c>
      <c r="AD127" s="156">
        <f t="shared" si="45"/>
        <v>3.152450342203435E-7</v>
      </c>
      <c r="AE127" s="156">
        <f t="shared" si="46"/>
        <v>9.6354947794573259E-7</v>
      </c>
      <c r="AF127" s="156">
        <f t="shared" si="47"/>
        <v>3.1524503408670029E-7</v>
      </c>
      <c r="AG127" s="660">
        <f t="shared" si="48"/>
        <v>3.1524503419034885E-7</v>
      </c>
      <c r="AH127" s="156">
        <f t="shared" si="49"/>
        <v>-5.352480658253695E-7</v>
      </c>
      <c r="AI127" s="157">
        <f t="shared" si="50"/>
        <v>1.373909337612963E-6</v>
      </c>
    </row>
    <row r="128" spans="3:35" s="9" customFormat="1" ht="15.75" thickBot="1" x14ac:dyDescent="0.3">
      <c r="C128" s="316">
        <v>23</v>
      </c>
      <c r="D128" s="290" t="s">
        <v>54</v>
      </c>
      <c r="E128" s="294">
        <f>C128/1000000</f>
        <v>2.3E-5</v>
      </c>
      <c r="F128" s="316">
        <v>8949</v>
      </c>
      <c r="G128" s="290" t="s">
        <v>11</v>
      </c>
      <c r="H128" s="294">
        <f t="shared" si="52"/>
        <v>37469463</v>
      </c>
      <c r="I128" s="316">
        <f t="shared" si="33"/>
        <v>16612265.622829566</v>
      </c>
      <c r="J128" s="317">
        <f t="shared" si="34"/>
        <v>16078037.423125174</v>
      </c>
      <c r="K128" s="317">
        <f t="shared" si="35"/>
        <v>16291070.869565217</v>
      </c>
      <c r="L128" s="317">
        <f t="shared" si="36"/>
        <v>1629107086.9565217</v>
      </c>
      <c r="M128" s="317">
        <f t="shared" si="37"/>
        <v>166122690924.68088</v>
      </c>
      <c r="N128" s="317">
        <f t="shared" si="38"/>
        <v>1629107.0869565217</v>
      </c>
      <c r="O128" s="317">
        <f t="shared" si="39"/>
        <v>1629107086956.5217</v>
      </c>
      <c r="P128" s="317">
        <f t="shared" si="40"/>
        <v>236281944.94587392</v>
      </c>
      <c r="Q128" s="291">
        <f t="shared" si="41"/>
        <v>12219306682.139479</v>
      </c>
      <c r="R128" s="642">
        <v>16612266</v>
      </c>
      <c r="S128" s="643">
        <v>16078037</v>
      </c>
      <c r="T128" s="643">
        <v>16291071</v>
      </c>
      <c r="U128" s="643">
        <v>1629107087</v>
      </c>
      <c r="V128" s="643">
        <v>166122690925</v>
      </c>
      <c r="W128" s="643">
        <v>1629107</v>
      </c>
      <c r="X128" s="643">
        <v>1629107086957</v>
      </c>
      <c r="Y128" s="643">
        <v>236281945</v>
      </c>
      <c r="Z128" s="642">
        <v>12219306682</v>
      </c>
      <c r="AA128" s="162">
        <f t="shared" si="42"/>
        <v>-2.2704334422831237E-8</v>
      </c>
      <c r="AB128" s="163">
        <f t="shared" si="43"/>
        <v>2.6316966602401778E-8</v>
      </c>
      <c r="AC128" s="163">
        <f t="shared" si="44"/>
        <v>-8.0065199040576494E-9</v>
      </c>
      <c r="AD128" s="163">
        <f t="shared" si="45"/>
        <v>-2.6688393201189483E-11</v>
      </c>
      <c r="AE128" s="163">
        <f t="shared" si="46"/>
        <v>-1.9210037634040815E-12</v>
      </c>
      <c r="AF128" s="163">
        <f t="shared" si="47"/>
        <v>5.3376799122185695E-8</v>
      </c>
      <c r="AG128" s="661">
        <f t="shared" si="48"/>
        <v>-2.9357891092874748E-13</v>
      </c>
      <c r="AH128" s="163">
        <f t="shared" si="49"/>
        <v>-2.2907414217899503E-10</v>
      </c>
      <c r="AI128" s="164">
        <f t="shared" si="50"/>
        <v>1.1414615174161286E-11</v>
      </c>
    </row>
    <row r="129" spans="3:35" s="9" customFormat="1" ht="15.75" thickTop="1" x14ac:dyDescent="0.25">
      <c r="C129" s="420">
        <v>7894</v>
      </c>
      <c r="D129" s="383" t="s">
        <v>49</v>
      </c>
      <c r="E129" s="384">
        <f>C129/100000</f>
        <v>7.8939999999999996E-2</v>
      </c>
      <c r="F129" s="420">
        <v>15668</v>
      </c>
      <c r="G129" s="383" t="s">
        <v>12</v>
      </c>
      <c r="H129" s="384">
        <f t="shared" ref="H129:H134" si="53">F129*3600*1000</f>
        <v>56404800000</v>
      </c>
      <c r="I129" s="420">
        <f t="shared" si="33"/>
        <v>7286151.1321003297</v>
      </c>
      <c r="J129" s="421">
        <f t="shared" si="34"/>
        <v>7051838.2761388402</v>
      </c>
      <c r="K129" s="421">
        <f t="shared" si="35"/>
        <v>7145274.8923232835</v>
      </c>
      <c r="L129" s="421">
        <f t="shared" si="36"/>
        <v>714527489.23232841</v>
      </c>
      <c r="M129" s="421">
        <f t="shared" si="37"/>
        <v>72861526538.86174</v>
      </c>
      <c r="N129" s="421">
        <f t="shared" si="38"/>
        <v>714527.48923232837</v>
      </c>
      <c r="O129" s="421">
        <f t="shared" si="39"/>
        <v>714527489232.32837</v>
      </c>
      <c r="P129" s="421">
        <f t="shared" si="40"/>
        <v>103633423.62503168</v>
      </c>
      <c r="Q129" s="390">
        <f t="shared" si="41"/>
        <v>5359396318.1758299</v>
      </c>
      <c r="R129" s="649">
        <v>7286151</v>
      </c>
      <c r="S129" s="650">
        <v>7051838</v>
      </c>
      <c r="T129" s="650">
        <v>7145275</v>
      </c>
      <c r="U129" s="650">
        <v>714527489</v>
      </c>
      <c r="V129" s="650">
        <v>72861526539</v>
      </c>
      <c r="W129" s="650">
        <v>714527</v>
      </c>
      <c r="X129" s="650">
        <v>714527489232</v>
      </c>
      <c r="Y129" s="650">
        <v>103633424</v>
      </c>
      <c r="Z129" s="649">
        <v>5359396318</v>
      </c>
      <c r="AA129" s="210">
        <f t="shared" si="42"/>
        <v>1.8130330724598262E-8</v>
      </c>
      <c r="AB129" s="211">
        <f t="shared" si="43"/>
        <v>3.9158419326998132E-8</v>
      </c>
      <c r="AC129" s="211">
        <f t="shared" si="44"/>
        <v>-1.5069639467204778E-8</v>
      </c>
      <c r="AD129" s="211">
        <f t="shared" si="45"/>
        <v>3.2514972260423511E-10</v>
      </c>
      <c r="AE129" s="211">
        <f t="shared" si="46"/>
        <v>-1.8975705597050539E-12</v>
      </c>
      <c r="AF129" s="211">
        <f t="shared" si="47"/>
        <v>6.8469350129099247E-7</v>
      </c>
      <c r="AG129" s="662">
        <f t="shared" si="48"/>
        <v>4.5956124232224034E-13</v>
      </c>
      <c r="AH129" s="211">
        <f t="shared" si="49"/>
        <v>-3.6182180132156882E-9</v>
      </c>
      <c r="AI129" s="212">
        <f t="shared" si="50"/>
        <v>3.2807778516738557E-11</v>
      </c>
    </row>
    <row r="130" spans="3:35" s="9" customFormat="1" x14ac:dyDescent="0.25">
      <c r="C130" s="412">
        <v>2298</v>
      </c>
      <c r="D130" s="214" t="s">
        <v>50</v>
      </c>
      <c r="E130" s="215">
        <f>C130/10000</f>
        <v>0.2298</v>
      </c>
      <c r="F130" s="412">
        <v>984</v>
      </c>
      <c r="G130" s="214" t="s">
        <v>12</v>
      </c>
      <c r="H130" s="215">
        <f t="shared" si="53"/>
        <v>3542400000</v>
      </c>
      <c r="I130" s="412">
        <f t="shared" si="33"/>
        <v>157190.68574412534</v>
      </c>
      <c r="J130" s="274">
        <f t="shared" si="34"/>
        <v>152135.64394778069</v>
      </c>
      <c r="K130" s="274">
        <f t="shared" si="35"/>
        <v>154151.4360313316</v>
      </c>
      <c r="L130" s="274">
        <f t="shared" si="36"/>
        <v>15415143.603133159</v>
      </c>
      <c r="M130" s="274">
        <f t="shared" si="37"/>
        <v>1571907185.7497883</v>
      </c>
      <c r="N130" s="274">
        <f t="shared" si="38"/>
        <v>15415.14360313316</v>
      </c>
      <c r="O130" s="274">
        <f t="shared" si="39"/>
        <v>15415143603.13316</v>
      </c>
      <c r="P130" s="274">
        <f t="shared" si="40"/>
        <v>2235776.9733681465</v>
      </c>
      <c r="Q130" s="216">
        <f t="shared" si="41"/>
        <v>115623072.75195822</v>
      </c>
      <c r="R130" s="631">
        <v>157191</v>
      </c>
      <c r="S130" s="632">
        <v>152136</v>
      </c>
      <c r="T130" s="632">
        <v>154151</v>
      </c>
      <c r="U130" s="632">
        <v>15415144</v>
      </c>
      <c r="V130" s="632">
        <v>1571907186</v>
      </c>
      <c r="W130" s="632">
        <v>15415.1</v>
      </c>
      <c r="X130" s="632">
        <v>15415143603</v>
      </c>
      <c r="Y130" s="632">
        <v>2235777</v>
      </c>
      <c r="Z130" s="631">
        <v>115623073</v>
      </c>
      <c r="AA130" s="221">
        <f t="shared" si="42"/>
        <v>-1.9992016268300999E-6</v>
      </c>
      <c r="AB130" s="222">
        <f t="shared" si="43"/>
        <v>-2.3403602868828394E-6</v>
      </c>
      <c r="AC130" s="222">
        <f t="shared" si="44"/>
        <v>2.8285907859502526E-6</v>
      </c>
      <c r="AD130" s="222">
        <f t="shared" si="45"/>
        <v>-2.5745257485700837E-8</v>
      </c>
      <c r="AE130" s="222">
        <f t="shared" si="46"/>
        <v>-1.591771562383265E-10</v>
      </c>
      <c r="AF130" s="222">
        <f t="shared" si="47"/>
        <v>2.8285907859030526E-6</v>
      </c>
      <c r="AG130" s="663">
        <f t="shared" si="48"/>
        <v>8.6382352885838116E-12</v>
      </c>
      <c r="AH130" s="222">
        <f t="shared" si="49"/>
        <v>-1.1911677175519738E-8</v>
      </c>
      <c r="AI130" s="223">
        <f t="shared" si="50"/>
        <v>-2.1452619524736752E-9</v>
      </c>
    </row>
    <row r="131" spans="3:35" s="9" customFormat="1" x14ac:dyDescent="0.25">
      <c r="C131" s="412">
        <v>745</v>
      </c>
      <c r="D131" s="214" t="s">
        <v>51</v>
      </c>
      <c r="E131" s="215">
        <f>C131/10</f>
        <v>74.5</v>
      </c>
      <c r="F131" s="412">
        <v>321</v>
      </c>
      <c r="G131" s="214" t="s">
        <v>12</v>
      </c>
      <c r="H131" s="215">
        <f t="shared" si="53"/>
        <v>1155600000</v>
      </c>
      <c r="I131" s="412">
        <f t="shared" si="33"/>
        <v>158.17232343624161</v>
      </c>
      <c r="J131" s="274">
        <f t="shared" si="34"/>
        <v>153.08571348724834</v>
      </c>
      <c r="K131" s="274">
        <f t="shared" si="35"/>
        <v>155.11409395973155</v>
      </c>
      <c r="L131" s="274">
        <f t="shared" si="36"/>
        <v>15511.409395973154</v>
      </c>
      <c r="M131" s="274">
        <f t="shared" si="37"/>
        <v>1581723.5647211999</v>
      </c>
      <c r="N131" s="274">
        <f t="shared" si="38"/>
        <v>15.511409395973155</v>
      </c>
      <c r="O131" s="274">
        <f t="shared" si="39"/>
        <v>15511409.395973155</v>
      </c>
      <c r="P131" s="274">
        <f t="shared" si="40"/>
        <v>2249.7391425503361</v>
      </c>
      <c r="Q131" s="216">
        <f t="shared" si="41"/>
        <v>116345.12549798658</v>
      </c>
      <c r="R131" s="631">
        <v>158.172</v>
      </c>
      <c r="S131" s="632">
        <v>153.08600000000001</v>
      </c>
      <c r="T131" s="632">
        <v>155.114</v>
      </c>
      <c r="U131" s="632">
        <v>15511.4</v>
      </c>
      <c r="V131" s="632">
        <v>1581724</v>
      </c>
      <c r="W131" s="632">
        <v>15.5114</v>
      </c>
      <c r="X131" s="632">
        <v>15511409</v>
      </c>
      <c r="Y131" s="632">
        <v>2249.7399999999998</v>
      </c>
      <c r="Z131" s="631">
        <v>116345</v>
      </c>
      <c r="AA131" s="221">
        <f t="shared" si="42"/>
        <v>2.0448346119509488E-6</v>
      </c>
      <c r="AB131" s="222">
        <f t="shared" si="43"/>
        <v>-1.8715838672641299E-6</v>
      </c>
      <c r="AC131" s="222">
        <f t="shared" si="44"/>
        <v>6.0574593284916942E-7</v>
      </c>
      <c r="AD131" s="222">
        <f t="shared" si="45"/>
        <v>6.057459328784864E-7</v>
      </c>
      <c r="AE131" s="222">
        <f t="shared" si="46"/>
        <v>-2.7519271369017511E-7</v>
      </c>
      <c r="AF131" s="222">
        <f t="shared" si="47"/>
        <v>6.0574593289497718E-7</v>
      </c>
      <c r="AG131" s="663">
        <f t="shared" si="48"/>
        <v>2.552786437174329E-8</v>
      </c>
      <c r="AH131" s="222">
        <f t="shared" si="49"/>
        <v>-3.8113292670658996E-7</v>
      </c>
      <c r="AI131" s="223">
        <f t="shared" si="50"/>
        <v>1.0786699145317765E-6</v>
      </c>
    </row>
    <row r="132" spans="3:35" s="9" customFormat="1" x14ac:dyDescent="0.25">
      <c r="C132" s="412">
        <v>77</v>
      </c>
      <c r="D132" s="214" t="s">
        <v>52</v>
      </c>
      <c r="E132" s="215">
        <f>C132/1000</f>
        <v>7.6999999999999999E-2</v>
      </c>
      <c r="F132" s="412">
        <v>984</v>
      </c>
      <c r="G132" s="214" t="s">
        <v>12</v>
      </c>
      <c r="H132" s="215">
        <f t="shared" si="53"/>
        <v>3542400000</v>
      </c>
      <c r="I132" s="412">
        <f t="shared" si="33"/>
        <v>469122.33225974033</v>
      </c>
      <c r="J132" s="274">
        <f t="shared" si="34"/>
        <v>454035.9867428572</v>
      </c>
      <c r="K132" s="274">
        <f t="shared" si="35"/>
        <v>460051.9480519481</v>
      </c>
      <c r="L132" s="274">
        <f t="shared" si="36"/>
        <v>46005194.80519481</v>
      </c>
      <c r="M132" s="274">
        <f t="shared" si="37"/>
        <v>4691224302.4065113</v>
      </c>
      <c r="N132" s="274">
        <f t="shared" si="38"/>
        <v>46005.194805194806</v>
      </c>
      <c r="O132" s="274">
        <f t="shared" si="39"/>
        <v>46005194805.194809</v>
      </c>
      <c r="P132" s="274">
        <f t="shared" si="40"/>
        <v>6672487.6425974034</v>
      </c>
      <c r="Q132" s="216">
        <f t="shared" si="41"/>
        <v>345067300.23896104</v>
      </c>
      <c r="R132" s="631">
        <v>469122</v>
      </c>
      <c r="S132" s="632">
        <v>454036</v>
      </c>
      <c r="T132" s="632">
        <v>460052</v>
      </c>
      <c r="U132" s="632">
        <v>46005195</v>
      </c>
      <c r="V132" s="632">
        <v>4691224302</v>
      </c>
      <c r="W132" s="632">
        <v>46005.2</v>
      </c>
      <c r="X132" s="632">
        <v>46005194805</v>
      </c>
      <c r="Y132" s="632">
        <v>6672488</v>
      </c>
      <c r="Z132" s="631">
        <v>345067300</v>
      </c>
      <c r="AA132" s="221">
        <f t="shared" si="42"/>
        <v>7.0825820363471203E-7</v>
      </c>
      <c r="AB132" s="222">
        <f t="shared" si="43"/>
        <v>-2.9198440616459269E-8</v>
      </c>
      <c r="AC132" s="222">
        <f t="shared" si="44"/>
        <v>-1.1291779573946221E-7</v>
      </c>
      <c r="AD132" s="222">
        <f t="shared" si="45"/>
        <v>-4.2344172390105489E-9</v>
      </c>
      <c r="AE132" s="222">
        <f t="shared" si="46"/>
        <v>8.665356430605173E-11</v>
      </c>
      <c r="AF132" s="222">
        <f t="shared" si="47"/>
        <v>-1.1291779577109324E-7</v>
      </c>
      <c r="AG132" s="663">
        <f t="shared" si="48"/>
        <v>4.2344991861427809E-12</v>
      </c>
      <c r="AH132" s="222">
        <f t="shared" si="49"/>
        <v>-5.3563620611454464E-8</v>
      </c>
      <c r="AI132" s="223">
        <f t="shared" si="50"/>
        <v>6.9250560921936526E-10</v>
      </c>
    </row>
    <row r="133" spans="3:35" s="9" customFormat="1" ht="17.25" x14ac:dyDescent="0.25">
      <c r="C133" s="412">
        <v>569</v>
      </c>
      <c r="D133" s="214" t="s">
        <v>68</v>
      </c>
      <c r="E133" s="215">
        <f>C133</f>
        <v>569</v>
      </c>
      <c r="F133" s="412">
        <v>894</v>
      </c>
      <c r="G133" s="214" t="s">
        <v>12</v>
      </c>
      <c r="H133" s="215">
        <f t="shared" si="53"/>
        <v>3218400000</v>
      </c>
      <c r="I133" s="412">
        <f t="shared" si="33"/>
        <v>57.677574242530753</v>
      </c>
      <c r="J133" s="274">
        <f t="shared" si="34"/>
        <v>55.822740750790864</v>
      </c>
      <c r="K133" s="274">
        <f t="shared" si="35"/>
        <v>56.562390158172228</v>
      </c>
      <c r="L133" s="274">
        <f t="shared" si="36"/>
        <v>5656.2390158172229</v>
      </c>
      <c r="M133" s="274">
        <f t="shared" si="37"/>
        <v>576775.86289071431</v>
      </c>
      <c r="N133" s="274">
        <f t="shared" si="38"/>
        <v>5.6562390158172233</v>
      </c>
      <c r="O133" s="274">
        <f t="shared" si="39"/>
        <v>5656239.0158172231</v>
      </c>
      <c r="P133" s="274">
        <f t="shared" si="40"/>
        <v>820.36789750439368</v>
      </c>
      <c r="Q133" s="216">
        <f t="shared" si="41"/>
        <v>42425.276861862912</v>
      </c>
      <c r="R133" s="631">
        <v>57.677599999999998</v>
      </c>
      <c r="S133" s="632">
        <v>55.822699999999998</v>
      </c>
      <c r="T133" s="632">
        <v>56.562399999999997</v>
      </c>
      <c r="U133" s="632">
        <v>5656.24</v>
      </c>
      <c r="V133" s="632">
        <v>576776</v>
      </c>
      <c r="W133" s="632">
        <v>5.6562400000000004</v>
      </c>
      <c r="X133" s="632">
        <v>5656239</v>
      </c>
      <c r="Y133" s="632">
        <v>820.36800000000005</v>
      </c>
      <c r="Z133" s="631">
        <v>42425.3</v>
      </c>
      <c r="AA133" s="221">
        <f t="shared" si="42"/>
        <v>-4.4657684695931072E-7</v>
      </c>
      <c r="AB133" s="222">
        <f t="shared" si="43"/>
        <v>7.3000340574655193E-7</v>
      </c>
      <c r="AC133" s="222">
        <f t="shared" si="44"/>
        <v>-1.7399950287162503E-7</v>
      </c>
      <c r="AD133" s="222">
        <f t="shared" si="45"/>
        <v>-1.7399950286660019E-7</v>
      </c>
      <c r="AE133" s="222">
        <f t="shared" si="46"/>
        <v>-2.3771675360857487E-7</v>
      </c>
      <c r="AF133" s="222">
        <f t="shared" si="47"/>
        <v>-1.7399950290303029E-7</v>
      </c>
      <c r="AG133" s="663">
        <f t="shared" si="48"/>
        <v>2.7964205671867608E-9</v>
      </c>
      <c r="AH133" s="222">
        <f t="shared" si="49"/>
        <v>-1.2493858753128881E-7</v>
      </c>
      <c r="AI133" s="223">
        <f t="shared" si="50"/>
        <v>-5.453856474706181E-7</v>
      </c>
    </row>
    <row r="134" spans="3:35" s="9" customFormat="1" ht="15.75" thickBot="1" x14ac:dyDescent="0.3">
      <c r="C134" s="397">
        <v>2899</v>
      </c>
      <c r="D134" s="398" t="s">
        <v>54</v>
      </c>
      <c r="E134" s="399">
        <f>C134/1000000</f>
        <v>2.8990000000000001E-3</v>
      </c>
      <c r="F134" s="397">
        <v>156</v>
      </c>
      <c r="G134" s="398" t="s">
        <v>12</v>
      </c>
      <c r="H134" s="399">
        <f t="shared" si="53"/>
        <v>561600000</v>
      </c>
      <c r="I134" s="397">
        <f t="shared" si="33"/>
        <v>1975413.9551569507</v>
      </c>
      <c r="J134" s="428">
        <f t="shared" si="34"/>
        <v>1911887.2896860989</v>
      </c>
      <c r="K134" s="428">
        <f t="shared" si="35"/>
        <v>1937219.730941704</v>
      </c>
      <c r="L134" s="428">
        <f t="shared" si="36"/>
        <v>193721973.09417042</v>
      </c>
      <c r="M134" s="428">
        <f t="shared" si="37"/>
        <v>19754143677.419956</v>
      </c>
      <c r="N134" s="428">
        <f t="shared" si="38"/>
        <v>193721.97309417042</v>
      </c>
      <c r="O134" s="428">
        <f t="shared" si="39"/>
        <v>193721973094.17041</v>
      </c>
      <c r="P134" s="428">
        <f t="shared" si="40"/>
        <v>28096989.417040363</v>
      </c>
      <c r="Q134" s="410">
        <f t="shared" si="41"/>
        <v>1453034130.941704</v>
      </c>
      <c r="R134" s="641">
        <v>1975414</v>
      </c>
      <c r="S134" s="639">
        <v>1911887</v>
      </c>
      <c r="T134" s="639">
        <v>1937220</v>
      </c>
      <c r="U134" s="639">
        <v>193721973</v>
      </c>
      <c r="V134" s="639">
        <v>19754143677</v>
      </c>
      <c r="W134" s="639">
        <v>193722</v>
      </c>
      <c r="X134" s="639">
        <v>193721973094</v>
      </c>
      <c r="Y134" s="639">
        <v>28096989</v>
      </c>
      <c r="Z134" s="641">
        <v>1453034131</v>
      </c>
      <c r="AA134" s="234">
        <f t="shared" si="42"/>
        <v>-2.270058340794982E-8</v>
      </c>
      <c r="AB134" s="235">
        <f t="shared" si="43"/>
        <v>1.5151839781057059E-7</v>
      </c>
      <c r="AC134" s="235">
        <f t="shared" si="44"/>
        <v>-1.3888888890290185E-7</v>
      </c>
      <c r="AD134" s="235">
        <f t="shared" si="45"/>
        <v>4.8611120286363141E-10</v>
      </c>
      <c r="AE134" s="235">
        <f t="shared" si="46"/>
        <v>2.1259145125861521E-11</v>
      </c>
      <c r="AF134" s="235">
        <f t="shared" si="47"/>
        <v>-1.3888888881276081E-7</v>
      </c>
      <c r="AG134" s="668">
        <f t="shared" si="48"/>
        <v>8.7966353804976848E-13</v>
      </c>
      <c r="AH134" s="235">
        <f t="shared" si="49"/>
        <v>1.4842884294970463E-8</v>
      </c>
      <c r="AI134" s="236">
        <f t="shared" si="50"/>
        <v>-4.0120162323317782E-11</v>
      </c>
    </row>
    <row r="135" spans="3:35" s="9" customFormat="1" ht="15.75" thickTop="1" x14ac:dyDescent="0.25">
      <c r="C135" s="8"/>
      <c r="D135" s="8"/>
      <c r="E135" s="8"/>
      <c r="F135" s="8"/>
      <c r="G135" s="8"/>
      <c r="H135" s="8"/>
    </row>
    <row r="136" spans="3:35" s="9" customFormat="1" x14ac:dyDescent="0.25">
      <c r="C136" s="8"/>
      <c r="D136" s="8"/>
      <c r="E136" s="8"/>
      <c r="F136" s="8"/>
      <c r="G136" s="8"/>
      <c r="H136" s="8"/>
    </row>
    <row r="137" spans="3:35" s="9" customFormat="1" x14ac:dyDescent="0.25">
      <c r="C137" s="8"/>
      <c r="D137" s="8"/>
      <c r="E137" s="8"/>
      <c r="F137" s="8"/>
      <c r="G137" s="8"/>
      <c r="H137" s="8"/>
    </row>
    <row r="138" spans="3:35" s="9" customFormat="1" x14ac:dyDescent="0.25">
      <c r="C138" s="8"/>
      <c r="D138" s="8"/>
      <c r="E138" s="8"/>
      <c r="F138" s="8"/>
      <c r="G138" s="8"/>
      <c r="H138" s="8"/>
    </row>
    <row r="139" spans="3:35" s="9" customFormat="1" x14ac:dyDescent="0.25">
      <c r="C139" s="8"/>
      <c r="D139" s="8"/>
      <c r="E139" s="8"/>
      <c r="F139" s="8"/>
      <c r="G139" s="8"/>
      <c r="H139" s="8"/>
    </row>
    <row r="140" spans="3:35" s="9" customFormat="1" x14ac:dyDescent="0.25">
      <c r="C140" s="8"/>
      <c r="D140" s="8"/>
      <c r="E140" s="8"/>
      <c r="F140" s="8"/>
      <c r="G140" s="8"/>
      <c r="H140" s="8"/>
    </row>
    <row r="141" spans="3:35" s="9" customFormat="1" x14ac:dyDescent="0.25">
      <c r="C141" s="8"/>
      <c r="D141" s="8"/>
      <c r="E141" s="8"/>
      <c r="F141" s="8"/>
      <c r="G141" s="8"/>
      <c r="H141" s="8"/>
    </row>
    <row r="142" spans="3:35" s="9" customFormat="1" x14ac:dyDescent="0.25">
      <c r="C142" s="8"/>
      <c r="D142" s="8"/>
      <c r="E142" s="8"/>
      <c r="F142" s="8"/>
      <c r="G142" s="8"/>
      <c r="H142" s="8"/>
    </row>
    <row r="143" spans="3:35" s="9" customFormat="1" x14ac:dyDescent="0.25">
      <c r="C143" s="8"/>
      <c r="D143" s="8"/>
      <c r="E143" s="8"/>
      <c r="F143" s="8"/>
      <c r="G143" s="8"/>
      <c r="H143" s="8"/>
    </row>
    <row r="144" spans="3:35" s="9" customFormat="1" x14ac:dyDescent="0.25">
      <c r="C144" s="8"/>
      <c r="D144" s="8"/>
      <c r="E144" s="8"/>
      <c r="F144" s="8"/>
      <c r="G144" s="8"/>
      <c r="H144" s="8"/>
    </row>
    <row r="145" s="9" customFormat="1" x14ac:dyDescent="0.25"/>
    <row r="146" s="9" customFormat="1" x14ac:dyDescent="0.25"/>
    <row r="147" s="9" customFormat="1" x14ac:dyDescent="0.25"/>
  </sheetData>
  <mergeCells count="31">
    <mergeCell ref="O67:T67"/>
    <mergeCell ref="O68:T68"/>
    <mergeCell ref="U67:Z67"/>
    <mergeCell ref="M8:P8"/>
    <mergeCell ref="Q8:T8"/>
    <mergeCell ref="M9:P9"/>
    <mergeCell ref="Q9:T9"/>
    <mergeCell ref="C67:H67"/>
    <mergeCell ref="C68:E68"/>
    <mergeCell ref="F68:H68"/>
    <mergeCell ref="I67:N67"/>
    <mergeCell ref="I68:N68"/>
    <mergeCell ref="C2:J2"/>
    <mergeCell ref="C4:E4"/>
    <mergeCell ref="H4:I4"/>
    <mergeCell ref="C8:H8"/>
    <mergeCell ref="C9:E9"/>
    <mergeCell ref="F9:H9"/>
    <mergeCell ref="I8:L8"/>
    <mergeCell ref="I9:L9"/>
    <mergeCell ref="E6:G6"/>
    <mergeCell ref="C108:H108"/>
    <mergeCell ref="C109:E109"/>
    <mergeCell ref="F109:H109"/>
    <mergeCell ref="I108:Q108"/>
    <mergeCell ref="R108:Z108"/>
    <mergeCell ref="AA108:AI108"/>
    <mergeCell ref="I109:Q109"/>
    <mergeCell ref="R109:Z109"/>
    <mergeCell ref="AA109:AI109"/>
    <mergeCell ref="U68:Z68"/>
  </mergeCells>
  <conditionalFormatting sqref="Q11:T64 U70:Z105 AA111:AI134">
    <cfRule type="cellIs" dxfId="14" priority="2" operator="notBetween">
      <formula>-0.01</formula>
      <formula>0.01</formula>
    </cfRule>
    <cfRule type="cellIs" priority="1" operator="notBetween">
      <formula>-0.001</formula>
      <formula>0.001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AL95"/>
  <sheetViews>
    <sheetView zoomScaleNormal="100" workbookViewId="0">
      <selection activeCell="B2" sqref="B2"/>
    </sheetView>
  </sheetViews>
  <sheetFormatPr defaultColWidth="18.7109375" defaultRowHeight="15" x14ac:dyDescent="0.25"/>
  <cols>
    <col min="1" max="2" width="5.7109375" style="9" customWidth="1"/>
    <col min="3" max="3" width="12.7109375" style="9" customWidth="1"/>
    <col min="4" max="4" width="10.7109375" style="9" customWidth="1"/>
    <col min="5" max="5" width="18.7109375" style="9"/>
    <col min="6" max="6" width="12.7109375" style="9" customWidth="1"/>
    <col min="7" max="7" width="10.7109375" style="9" customWidth="1"/>
    <col min="8" max="16384" width="18.7109375" style="9"/>
  </cols>
  <sheetData>
    <row r="2" spans="3:38" ht="21" x14ac:dyDescent="0.35">
      <c r="C2" s="2490" t="s">
        <v>26</v>
      </c>
      <c r="D2" s="2491"/>
      <c r="E2" s="2491"/>
      <c r="F2" s="2491"/>
      <c r="G2" s="2491"/>
      <c r="H2" s="2491"/>
      <c r="I2" s="2491"/>
      <c r="J2" s="2491"/>
    </row>
    <row r="3" spans="3:38" x14ac:dyDescent="0.25"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3:38" x14ac:dyDescent="0.25">
      <c r="C4" s="2501" t="s">
        <v>22</v>
      </c>
      <c r="D4" s="2502"/>
      <c r="E4" s="2503"/>
      <c r="F4" s="20"/>
      <c r="G4" s="20"/>
      <c r="H4" s="2501" t="s">
        <v>23</v>
      </c>
      <c r="I4" s="2503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</row>
    <row r="5" spans="3:38" ht="15.75" thickBot="1" x14ac:dyDescent="0.3"/>
    <row r="6" spans="3:38" ht="19.5" thickBot="1" x14ac:dyDescent="0.35">
      <c r="E6" s="2497" t="s">
        <v>77</v>
      </c>
      <c r="F6" s="2498"/>
      <c r="G6" s="2499"/>
    </row>
    <row r="7" spans="3:38" ht="15.75" thickBot="1" x14ac:dyDescent="0.3"/>
    <row r="8" spans="3:38" ht="15.75" thickTop="1" x14ac:dyDescent="0.25">
      <c r="C8" s="2488" t="s">
        <v>0</v>
      </c>
      <c r="D8" s="2489"/>
      <c r="E8" s="2489"/>
      <c r="F8" s="2489"/>
      <c r="G8" s="2489"/>
      <c r="H8" s="2489"/>
      <c r="I8" s="2483" t="s">
        <v>158</v>
      </c>
      <c r="J8" s="2484"/>
      <c r="K8" s="2484"/>
      <c r="L8" s="2485"/>
      <c r="M8" s="2488" t="s">
        <v>17</v>
      </c>
      <c r="N8" s="2489"/>
      <c r="O8" s="2489"/>
      <c r="P8" s="2495"/>
      <c r="Q8" s="2484" t="s">
        <v>8</v>
      </c>
      <c r="R8" s="2484"/>
      <c r="S8" s="2484"/>
      <c r="T8" s="2485"/>
    </row>
    <row r="9" spans="3:38" ht="15.75" thickBot="1" x14ac:dyDescent="0.3">
      <c r="C9" s="2486" t="s">
        <v>28</v>
      </c>
      <c r="D9" s="2487"/>
      <c r="E9" s="2487"/>
      <c r="F9" s="2486" t="s">
        <v>71</v>
      </c>
      <c r="G9" s="2487"/>
      <c r="H9" s="2496"/>
      <c r="I9" s="2480" t="s">
        <v>72</v>
      </c>
      <c r="J9" s="2481"/>
      <c r="K9" s="2481"/>
      <c r="L9" s="2482"/>
      <c r="M9" s="2486" t="s">
        <v>72</v>
      </c>
      <c r="N9" s="2487"/>
      <c r="O9" s="2487"/>
      <c r="P9" s="2496"/>
      <c r="Q9" s="2510" t="s">
        <v>72</v>
      </c>
      <c r="R9" s="2510"/>
      <c r="S9" s="2510"/>
      <c r="T9" s="2511"/>
    </row>
    <row r="10" spans="3:38" ht="18.75" thickTop="1" thickBot="1" x14ac:dyDescent="0.3">
      <c r="C10" s="82" t="s">
        <v>3</v>
      </c>
      <c r="D10" s="66" t="s">
        <v>4</v>
      </c>
      <c r="E10" s="84" t="s">
        <v>30</v>
      </c>
      <c r="F10" s="82" t="s">
        <v>3</v>
      </c>
      <c r="G10" s="66" t="s">
        <v>4</v>
      </c>
      <c r="H10" s="801" t="s">
        <v>53</v>
      </c>
      <c r="I10" s="86" t="s">
        <v>75</v>
      </c>
      <c r="J10" s="87" t="s">
        <v>73</v>
      </c>
      <c r="K10" s="87" t="s">
        <v>76</v>
      </c>
      <c r="L10" s="88" t="s">
        <v>74</v>
      </c>
      <c r="M10" s="82" t="s">
        <v>75</v>
      </c>
      <c r="N10" s="83" t="s">
        <v>73</v>
      </c>
      <c r="O10" s="83" t="s">
        <v>76</v>
      </c>
      <c r="P10" s="84" t="s">
        <v>74</v>
      </c>
      <c r="Q10" s="809" t="s">
        <v>75</v>
      </c>
      <c r="R10" s="810" t="s">
        <v>73</v>
      </c>
      <c r="S10" s="810" t="s">
        <v>76</v>
      </c>
      <c r="T10" s="811" t="s">
        <v>74</v>
      </c>
    </row>
    <row r="11" spans="3:38" ht="15.75" thickTop="1" x14ac:dyDescent="0.25">
      <c r="C11" s="1091">
        <v>32</v>
      </c>
      <c r="D11" s="1052" t="s">
        <v>32</v>
      </c>
      <c r="E11" s="1053">
        <f>C11/1000</f>
        <v>3.2000000000000001E-2</v>
      </c>
      <c r="F11" s="1091">
        <v>1524</v>
      </c>
      <c r="G11" s="1052" t="s">
        <v>49</v>
      </c>
      <c r="H11" s="1055">
        <f>F11/100000</f>
        <v>1.524E-2</v>
      </c>
      <c r="I11" s="1051">
        <f>K11/1000</f>
        <v>2.0997375328083989E-3</v>
      </c>
      <c r="J11" s="1054">
        <f>K11/1000</f>
        <v>2.0997375328083989E-3</v>
      </c>
      <c r="K11" s="1054">
        <f>E11/H11</f>
        <v>2.0997375328083989</v>
      </c>
      <c r="L11" s="1055">
        <f>K11/(0.45359237/0.3048^3)</f>
        <v>0.1310823319184139</v>
      </c>
      <c r="M11" s="1092">
        <v>2.0997400000000001E-3</v>
      </c>
      <c r="N11" s="1093">
        <v>2.0997400000000001E-3</v>
      </c>
      <c r="O11" s="1093">
        <v>2.0997400000000002</v>
      </c>
      <c r="P11" s="1094">
        <v>0.131082</v>
      </c>
      <c r="Q11" s="980">
        <f xml:space="preserve"> (I11-M11)/I11</f>
        <v>-1.1750000000678319E-6</v>
      </c>
      <c r="R11" s="981">
        <f xml:space="preserve"> (J11-N11)/J11</f>
        <v>-1.1750000000678319E-6</v>
      </c>
      <c r="S11" s="981">
        <f xml:space="preserve"> (K11-O11)/K11</f>
        <v>-1.1750000000909643E-6</v>
      </c>
      <c r="T11" s="982">
        <f xml:space="preserve"> (L11-P11)/L11</f>
        <v>2.532136932835332E-6</v>
      </c>
    </row>
    <row r="12" spans="3:38" x14ac:dyDescent="0.25">
      <c r="C12" s="71">
        <v>43</v>
      </c>
      <c r="D12" s="59" t="s">
        <v>30</v>
      </c>
      <c r="E12" s="32">
        <f>C12</f>
        <v>43</v>
      </c>
      <c r="F12" s="71">
        <v>917</v>
      </c>
      <c r="G12" s="59" t="s">
        <v>49</v>
      </c>
      <c r="H12" s="889">
        <f>F12/100000</f>
        <v>9.1699999999999993E-3</v>
      </c>
      <c r="I12" s="1059">
        <f t="shared" ref="I12:I40" si="0">K12/1000</f>
        <v>4.6892039258451481</v>
      </c>
      <c r="J12" s="1060">
        <f t="shared" ref="J12:J40" si="1">K12/1000</f>
        <v>4.6892039258451481</v>
      </c>
      <c r="K12" s="1060">
        <f t="shared" ref="K12:K40" si="2">E12/H12</f>
        <v>4689.2039258451478</v>
      </c>
      <c r="L12" s="889">
        <f t="shared" ref="L12:L40" si="3">K12/(0.45359237/0.3048^3)</f>
        <v>292.73743781616344</v>
      </c>
      <c r="M12" s="1095">
        <v>4.6891999999999996</v>
      </c>
      <c r="N12" s="1096">
        <v>4.6891999999999996</v>
      </c>
      <c r="O12" s="1096">
        <v>4689.2</v>
      </c>
      <c r="P12" s="1097">
        <v>292.73700000000002</v>
      </c>
      <c r="Q12" s="897">
        <f t="shared" ref="Q12:Q40" si="4" xml:space="preserve"> (I12-M12)/I12</f>
        <v>8.3720930260350957E-7</v>
      </c>
      <c r="R12" s="898">
        <f t="shared" ref="R12:R40" si="5" xml:space="preserve"> (J12-N12)/J12</f>
        <v>8.3720930260350957E-7</v>
      </c>
      <c r="S12" s="898">
        <f t="shared" ref="S12:S40" si="6" xml:space="preserve"> (K12-O12)/K12</f>
        <v>8.3720930247774191E-7</v>
      </c>
      <c r="T12" s="899">
        <f t="shared" ref="T12:T40" si="7" xml:space="preserve"> (L12-P12)/L12</f>
        <v>1.4955933435721081E-6</v>
      </c>
    </row>
    <row r="13" spans="3:38" x14ac:dyDescent="0.25">
      <c r="C13" s="71">
        <v>56</v>
      </c>
      <c r="D13" s="59" t="s">
        <v>33</v>
      </c>
      <c r="E13" s="32">
        <f>C13*0.45359237</f>
        <v>25.401172720000002</v>
      </c>
      <c r="F13" s="71">
        <v>641</v>
      </c>
      <c r="G13" s="59" t="s">
        <v>49</v>
      </c>
      <c r="H13" s="889">
        <f>F13/100000</f>
        <v>6.4099999999999999E-3</v>
      </c>
      <c r="I13" s="1059">
        <f t="shared" si="0"/>
        <v>3.9627414539781594</v>
      </c>
      <c r="J13" s="1060">
        <f t="shared" si="1"/>
        <v>3.9627414539781594</v>
      </c>
      <c r="K13" s="1060">
        <f t="shared" si="2"/>
        <v>3962.7414539781594</v>
      </c>
      <c r="L13" s="889">
        <f t="shared" si="3"/>
        <v>247.38586726240254</v>
      </c>
      <c r="M13" s="1095">
        <v>3.9627400000000002</v>
      </c>
      <c r="N13" s="1096">
        <v>3.9627400000000002</v>
      </c>
      <c r="O13" s="1096">
        <v>3962.74</v>
      </c>
      <c r="P13" s="1097">
        <v>247.386</v>
      </c>
      <c r="Q13" s="897">
        <f t="shared" si="4"/>
        <v>3.6691219351322018E-7</v>
      </c>
      <c r="R13" s="898">
        <f t="shared" si="5"/>
        <v>3.6691219351322018E-7</v>
      </c>
      <c r="S13" s="898">
        <f t="shared" si="6"/>
        <v>3.6691219361004537E-7</v>
      </c>
      <c r="T13" s="899">
        <f t="shared" si="7"/>
        <v>-5.3656095605990948E-7</v>
      </c>
    </row>
    <row r="14" spans="3:38" x14ac:dyDescent="0.25">
      <c r="C14" s="71">
        <v>158</v>
      </c>
      <c r="D14" s="59" t="s">
        <v>34</v>
      </c>
      <c r="E14" s="32">
        <f>C14*1000</f>
        <v>158000</v>
      </c>
      <c r="F14" s="71">
        <v>380</v>
      </c>
      <c r="G14" s="59" t="s">
        <v>49</v>
      </c>
      <c r="H14" s="889">
        <f>F14/100000</f>
        <v>3.8E-3</v>
      </c>
      <c r="I14" s="1059">
        <f t="shared" si="0"/>
        <v>41578.947368421053</v>
      </c>
      <c r="J14" s="1060">
        <f t="shared" si="1"/>
        <v>41578.947368421053</v>
      </c>
      <c r="K14" s="1060">
        <f t="shared" si="2"/>
        <v>41578947.368421055</v>
      </c>
      <c r="L14" s="889">
        <f t="shared" si="3"/>
        <v>2595688.8871133816</v>
      </c>
      <c r="M14" s="1095">
        <v>41578.9</v>
      </c>
      <c r="N14" s="1096">
        <v>41578.9</v>
      </c>
      <c r="O14" s="1096">
        <v>41578947</v>
      </c>
      <c r="P14" s="1097">
        <v>2595689</v>
      </c>
      <c r="Q14" s="897">
        <f t="shared" si="4"/>
        <v>1.1392405063125357E-6</v>
      </c>
      <c r="R14" s="898">
        <f t="shared" si="5"/>
        <v>1.1392405063125357E-6</v>
      </c>
      <c r="S14" s="898">
        <f t="shared" si="6"/>
        <v>8.8607595596886881E-9</v>
      </c>
      <c r="T14" s="899">
        <f t="shared" si="7"/>
        <v>-4.3490041860406047E-8</v>
      </c>
    </row>
    <row r="15" spans="3:38" ht="15.75" thickBot="1" x14ac:dyDescent="0.3">
      <c r="C15" s="952">
        <v>2365</v>
      </c>
      <c r="D15" s="953" t="s">
        <v>35</v>
      </c>
      <c r="E15" s="1065">
        <f>C15*31.1034768/1000</f>
        <v>73.559722632000003</v>
      </c>
      <c r="F15" s="952">
        <v>259</v>
      </c>
      <c r="G15" s="953" t="s">
        <v>49</v>
      </c>
      <c r="H15" s="954">
        <f>F15/100000</f>
        <v>2.5899999999999999E-3</v>
      </c>
      <c r="I15" s="1064">
        <f t="shared" si="0"/>
        <v>28.401437309652511</v>
      </c>
      <c r="J15" s="1066">
        <f t="shared" si="1"/>
        <v>28.401437309652511</v>
      </c>
      <c r="K15" s="1066">
        <f t="shared" si="2"/>
        <v>28401.437309652512</v>
      </c>
      <c r="L15" s="954">
        <f t="shared" si="3"/>
        <v>1773.04380867283</v>
      </c>
      <c r="M15" s="1098">
        <v>28.401399999999999</v>
      </c>
      <c r="N15" s="1099">
        <v>28.401399999999999</v>
      </c>
      <c r="O15" s="1099">
        <v>28401.4</v>
      </c>
      <c r="P15" s="1100">
        <v>1773.04</v>
      </c>
      <c r="Q15" s="911">
        <f t="shared" si="4"/>
        <v>1.3136536755371457E-6</v>
      </c>
      <c r="R15" s="912">
        <f t="shared" si="5"/>
        <v>1.3136536755371457E-6</v>
      </c>
      <c r="S15" s="912">
        <f t="shared" si="6"/>
        <v>1.3136536754851085E-6</v>
      </c>
      <c r="T15" s="913">
        <f t="shared" si="7"/>
        <v>2.1480985474744216E-6</v>
      </c>
    </row>
    <row r="16" spans="3:38" ht="15.75" thickTop="1" x14ac:dyDescent="0.25">
      <c r="C16" s="1332">
        <v>4589</v>
      </c>
      <c r="D16" s="1333" t="s">
        <v>32</v>
      </c>
      <c r="E16" s="1334">
        <f>C16/1000</f>
        <v>4.5890000000000004</v>
      </c>
      <c r="F16" s="1332">
        <v>152</v>
      </c>
      <c r="G16" s="1333" t="s">
        <v>50</v>
      </c>
      <c r="H16" s="1471">
        <f>F16/10000</f>
        <v>1.52E-2</v>
      </c>
      <c r="I16" s="1431">
        <f t="shared" si="0"/>
        <v>0.30190789473684215</v>
      </c>
      <c r="J16" s="1442">
        <f t="shared" si="1"/>
        <v>0.30190789473684215</v>
      </c>
      <c r="K16" s="1442">
        <f t="shared" si="2"/>
        <v>301.90789473684214</v>
      </c>
      <c r="L16" s="1370">
        <f t="shared" si="3"/>
        <v>18.847494150258399</v>
      </c>
      <c r="M16" s="1472">
        <v>0.30190800000000001</v>
      </c>
      <c r="N16" s="1444">
        <v>0.30190800000000001</v>
      </c>
      <c r="O16" s="1444">
        <v>301.90800000000002</v>
      </c>
      <c r="P16" s="1443">
        <v>18.8475</v>
      </c>
      <c r="Q16" s="1265">
        <f t="shared" si="4"/>
        <v>-3.4865983861936891E-7</v>
      </c>
      <c r="R16" s="1266">
        <f t="shared" si="5"/>
        <v>-3.4865983861936891E-7</v>
      </c>
      <c r="S16" s="1266">
        <f t="shared" si="6"/>
        <v>-3.4865983868703228E-7</v>
      </c>
      <c r="T16" s="1267">
        <f t="shared" si="7"/>
        <v>-3.1037237919810734E-7</v>
      </c>
    </row>
    <row r="17" spans="3:20" x14ac:dyDescent="0.25">
      <c r="C17" s="1268">
        <v>245</v>
      </c>
      <c r="D17" s="1269" t="s">
        <v>30</v>
      </c>
      <c r="E17" s="1254">
        <f>C17</f>
        <v>245</v>
      </c>
      <c r="F17" s="1280">
        <v>15.9</v>
      </c>
      <c r="G17" s="1269" t="s">
        <v>50</v>
      </c>
      <c r="H17" s="1420">
        <f>F17/10000</f>
        <v>1.5900000000000001E-3</v>
      </c>
      <c r="I17" s="1435">
        <f t="shared" si="0"/>
        <v>154.08805031446539</v>
      </c>
      <c r="J17" s="1446">
        <f t="shared" si="1"/>
        <v>154.08805031446539</v>
      </c>
      <c r="K17" s="1446">
        <f t="shared" si="2"/>
        <v>154088.05031446539</v>
      </c>
      <c r="L17" s="1270">
        <f t="shared" si="3"/>
        <v>9619.4027302864342</v>
      </c>
      <c r="M17" s="1462">
        <v>154.08799999999999</v>
      </c>
      <c r="N17" s="1448">
        <v>154.08799999999999</v>
      </c>
      <c r="O17" s="1448">
        <v>154088</v>
      </c>
      <c r="P17" s="1447">
        <v>9619.4</v>
      </c>
      <c r="Q17" s="1277">
        <f t="shared" si="4"/>
        <v>3.2653061217221265E-7</v>
      </c>
      <c r="R17" s="1278">
        <f t="shared" si="5"/>
        <v>3.2653061217221265E-7</v>
      </c>
      <c r="S17" s="1278">
        <f t="shared" si="6"/>
        <v>3.2653061213679804E-7</v>
      </c>
      <c r="T17" s="1279">
        <f t="shared" si="7"/>
        <v>2.8383118070336622E-7</v>
      </c>
    </row>
    <row r="18" spans="3:20" x14ac:dyDescent="0.25">
      <c r="C18" s="1268">
        <v>24</v>
      </c>
      <c r="D18" s="1269" t="s">
        <v>33</v>
      </c>
      <c r="E18" s="1254">
        <f>C18*0.45359237</f>
        <v>10.886216880000001</v>
      </c>
      <c r="F18" s="1268">
        <v>90</v>
      </c>
      <c r="G18" s="1269" t="s">
        <v>50</v>
      </c>
      <c r="H18" s="1420">
        <f>F18/10000</f>
        <v>8.9999999999999993E-3</v>
      </c>
      <c r="I18" s="1435">
        <f t="shared" si="0"/>
        <v>1.2095796533333334</v>
      </c>
      <c r="J18" s="1446">
        <f t="shared" si="1"/>
        <v>1.2095796533333334</v>
      </c>
      <c r="K18" s="1446">
        <f t="shared" si="2"/>
        <v>1209.5796533333335</v>
      </c>
      <c r="L18" s="1270">
        <f t="shared" si="3"/>
        <v>75.511590912000017</v>
      </c>
      <c r="M18" s="1462">
        <v>1.2095800000000001</v>
      </c>
      <c r="N18" s="1448">
        <v>1.2095800000000001</v>
      </c>
      <c r="O18" s="1448">
        <v>1209.58</v>
      </c>
      <c r="P18" s="1447">
        <v>75.511600000000001</v>
      </c>
      <c r="Q18" s="1277">
        <f t="shared" si="4"/>
        <v>-2.8660094087305847E-7</v>
      </c>
      <c r="R18" s="1278">
        <f t="shared" si="5"/>
        <v>-2.8660094087305847E-7</v>
      </c>
      <c r="S18" s="1278">
        <f t="shared" si="6"/>
        <v>-2.8660094068067531E-7</v>
      </c>
      <c r="T18" s="1279">
        <f t="shared" si="7"/>
        <v>-1.2035238398233913E-7</v>
      </c>
    </row>
    <row r="19" spans="3:20" x14ac:dyDescent="0.25">
      <c r="C19" s="1268">
        <v>1215</v>
      </c>
      <c r="D19" s="1269" t="s">
        <v>34</v>
      </c>
      <c r="E19" s="1254">
        <f>C19*1000</f>
        <v>1215000</v>
      </c>
      <c r="F19" s="1268">
        <v>420</v>
      </c>
      <c r="G19" s="1269" t="s">
        <v>50</v>
      </c>
      <c r="H19" s="1420">
        <f>F19/10000</f>
        <v>4.2000000000000003E-2</v>
      </c>
      <c r="I19" s="1435">
        <f t="shared" si="0"/>
        <v>28928.571428571424</v>
      </c>
      <c r="J19" s="1446">
        <f t="shared" si="1"/>
        <v>28928.571428571424</v>
      </c>
      <c r="K19" s="1446">
        <f t="shared" si="2"/>
        <v>28928571.428571425</v>
      </c>
      <c r="L19" s="1270">
        <f t="shared" si="3"/>
        <v>1805951.7166670405</v>
      </c>
      <c r="M19" s="1462">
        <v>28928.6</v>
      </c>
      <c r="N19" s="1448">
        <v>28928.6</v>
      </c>
      <c r="O19" s="1448">
        <v>28928571</v>
      </c>
      <c r="P19" s="1447">
        <v>1805952</v>
      </c>
      <c r="Q19" s="1277">
        <f t="shared" si="4"/>
        <v>-9.8765432109903942E-7</v>
      </c>
      <c r="R19" s="1278">
        <f t="shared" si="5"/>
        <v>-9.8765432109903942E-7</v>
      </c>
      <c r="S19" s="1278">
        <f t="shared" si="6"/>
        <v>1.4814814704435845E-8</v>
      </c>
      <c r="T19" s="1279">
        <f t="shared" si="7"/>
        <v>-1.5688844662961243E-7</v>
      </c>
    </row>
    <row r="20" spans="3:20" ht="15.75" thickBot="1" x14ac:dyDescent="0.3">
      <c r="C20" s="1347">
        <v>12154</v>
      </c>
      <c r="D20" s="1348" t="s">
        <v>35</v>
      </c>
      <c r="E20" s="1351">
        <f>C20*31.1034768/1000</f>
        <v>378.03165702719997</v>
      </c>
      <c r="F20" s="1347">
        <v>28</v>
      </c>
      <c r="G20" s="1348" t="s">
        <v>50</v>
      </c>
      <c r="H20" s="1473">
        <f>F20/10000</f>
        <v>2.8E-3</v>
      </c>
      <c r="I20" s="1440">
        <f t="shared" si="0"/>
        <v>135.01130608114286</v>
      </c>
      <c r="J20" s="1451">
        <f t="shared" si="1"/>
        <v>135.01130608114286</v>
      </c>
      <c r="K20" s="1451">
        <f t="shared" si="2"/>
        <v>135011.30608114286</v>
      </c>
      <c r="L20" s="1375">
        <f t="shared" si="3"/>
        <v>8428.4804933673804</v>
      </c>
      <c r="M20" s="1474">
        <v>135.011</v>
      </c>
      <c r="N20" s="1453">
        <v>135.011</v>
      </c>
      <c r="O20" s="1453">
        <v>135011</v>
      </c>
      <c r="P20" s="1452">
        <v>8428.48</v>
      </c>
      <c r="Q20" s="1296">
        <f t="shared" si="4"/>
        <v>2.2670778600040382E-6</v>
      </c>
      <c r="R20" s="1297">
        <f t="shared" si="5"/>
        <v>2.2670778600040382E-6</v>
      </c>
      <c r="S20" s="1297">
        <f t="shared" si="6"/>
        <v>2.2670778599434106E-6</v>
      </c>
      <c r="T20" s="1298">
        <f t="shared" si="7"/>
        <v>5.8535744518740004E-8</v>
      </c>
    </row>
    <row r="21" spans="3:20" ht="15.75" thickTop="1" x14ac:dyDescent="0.25">
      <c r="C21" s="72">
        <v>28</v>
      </c>
      <c r="D21" s="62" t="s">
        <v>32</v>
      </c>
      <c r="E21" s="34">
        <f>C21/1000</f>
        <v>2.8000000000000001E-2</v>
      </c>
      <c r="F21" s="72">
        <v>45</v>
      </c>
      <c r="G21" s="62" t="s">
        <v>51</v>
      </c>
      <c r="H21" s="278">
        <f>F21/10</f>
        <v>4.5</v>
      </c>
      <c r="I21" s="310">
        <f t="shared" si="0"/>
        <v>6.2222222222222223E-6</v>
      </c>
      <c r="J21" s="117">
        <f t="shared" si="1"/>
        <v>6.2222222222222223E-6</v>
      </c>
      <c r="K21" s="117">
        <f t="shared" si="2"/>
        <v>6.2222222222222227E-3</v>
      </c>
      <c r="L21" s="35">
        <f t="shared" si="3"/>
        <v>3.8844064358489988E-4</v>
      </c>
      <c r="M21" s="669">
        <v>6.2222222222222198E-6</v>
      </c>
      <c r="N21" s="670">
        <v>6.2222222222222198E-6</v>
      </c>
      <c r="O21" s="630">
        <v>6.2222199999999997E-3</v>
      </c>
      <c r="P21" s="629">
        <v>3.88441E-4</v>
      </c>
      <c r="Q21" s="155">
        <f t="shared" si="4"/>
        <v>4.0839088528332339E-16</v>
      </c>
      <c r="R21" s="156">
        <f t="shared" si="5"/>
        <v>4.0839088528332339E-16</v>
      </c>
      <c r="S21" s="156">
        <f t="shared" si="6"/>
        <v>3.5714285728013351E-7</v>
      </c>
      <c r="T21" s="157">
        <f t="shared" si="7"/>
        <v>-9.1755357223961466E-7</v>
      </c>
    </row>
    <row r="22" spans="3:20" x14ac:dyDescent="0.25">
      <c r="C22" s="72">
        <v>95</v>
      </c>
      <c r="D22" s="62" t="s">
        <v>30</v>
      </c>
      <c r="E22" s="34">
        <f>C22</f>
        <v>95</v>
      </c>
      <c r="F22" s="72">
        <v>550</v>
      </c>
      <c r="G22" s="62" t="s">
        <v>51</v>
      </c>
      <c r="H22" s="35">
        <f>F22/10</f>
        <v>55</v>
      </c>
      <c r="I22" s="310">
        <f t="shared" si="0"/>
        <v>1.7272727272727272E-3</v>
      </c>
      <c r="J22" s="117">
        <f t="shared" si="1"/>
        <v>1.7272727272727272E-3</v>
      </c>
      <c r="K22" s="117">
        <f t="shared" si="2"/>
        <v>1.7272727272727273</v>
      </c>
      <c r="L22" s="35">
        <f t="shared" si="3"/>
        <v>0.10783011372243162</v>
      </c>
      <c r="M22" s="633">
        <v>1.7272699999999999E-3</v>
      </c>
      <c r="N22" s="630">
        <v>1.7272699999999999E-3</v>
      </c>
      <c r="O22" s="630">
        <v>1.7272700000000001</v>
      </c>
      <c r="P22" s="629">
        <v>0.10783</v>
      </c>
      <c r="Q22" s="155">
        <f t="shared" si="4"/>
        <v>1.5789473684459136E-6</v>
      </c>
      <c r="R22" s="156">
        <f t="shared" si="5"/>
        <v>1.5789473684459136E-6</v>
      </c>
      <c r="S22" s="156">
        <f t="shared" si="6"/>
        <v>1.5789473683846503E-6</v>
      </c>
      <c r="T22" s="157">
        <f t="shared" si="7"/>
        <v>1.0546444559743035E-6</v>
      </c>
    </row>
    <row r="23" spans="3:20" x14ac:dyDescent="0.25">
      <c r="C23" s="72">
        <v>959</v>
      </c>
      <c r="D23" s="62" t="s">
        <v>33</v>
      </c>
      <c r="E23" s="34">
        <f>C23*0.45359237</f>
        <v>434.99508283</v>
      </c>
      <c r="F23" s="72">
        <v>640</v>
      </c>
      <c r="G23" s="62" t="s">
        <v>51</v>
      </c>
      <c r="H23" s="35">
        <f>F23/10</f>
        <v>64</v>
      </c>
      <c r="I23" s="310">
        <f t="shared" si="0"/>
        <v>6.7967981692187499E-3</v>
      </c>
      <c r="J23" s="117">
        <f t="shared" si="1"/>
        <v>6.7967981692187499E-3</v>
      </c>
      <c r="K23" s="117">
        <f t="shared" si="2"/>
        <v>6.79679816921875</v>
      </c>
      <c r="L23" s="35">
        <f t="shared" si="3"/>
        <v>0.42431024815200002</v>
      </c>
      <c r="M23" s="633">
        <v>6.7968000000000004E-3</v>
      </c>
      <c r="N23" s="630">
        <v>6.7968000000000004E-3</v>
      </c>
      <c r="O23" s="630">
        <v>6.7968000000000002</v>
      </c>
      <c r="P23" s="629">
        <v>0.42431000000000002</v>
      </c>
      <c r="Q23" s="155">
        <f t="shared" si="4"/>
        <v>-2.6935936671619812E-7</v>
      </c>
      <c r="R23" s="156">
        <f t="shared" si="5"/>
        <v>-2.6935936671619812E-7</v>
      </c>
      <c r="S23" s="156">
        <f t="shared" si="6"/>
        <v>-2.693593666569856E-7</v>
      </c>
      <c r="T23" s="157">
        <f t="shared" si="7"/>
        <v>5.8483621615302039E-7</v>
      </c>
    </row>
    <row r="24" spans="3:20" x14ac:dyDescent="0.25">
      <c r="C24" s="72">
        <v>456</v>
      </c>
      <c r="D24" s="62" t="s">
        <v>34</v>
      </c>
      <c r="E24" s="34">
        <f>C24*1000</f>
        <v>456000</v>
      </c>
      <c r="F24" s="72">
        <v>350</v>
      </c>
      <c r="G24" s="62" t="s">
        <v>51</v>
      </c>
      <c r="H24" s="35">
        <f>F24/10</f>
        <v>35</v>
      </c>
      <c r="I24" s="310">
        <f t="shared" si="0"/>
        <v>13.028571428571428</v>
      </c>
      <c r="J24" s="117">
        <f t="shared" si="1"/>
        <v>13.028571428571428</v>
      </c>
      <c r="K24" s="117">
        <f t="shared" si="2"/>
        <v>13028.571428571429</v>
      </c>
      <c r="L24" s="35">
        <f t="shared" si="3"/>
        <v>813.34714350634135</v>
      </c>
      <c r="M24" s="633">
        <v>13.028600000000001</v>
      </c>
      <c r="N24" s="630">
        <v>13.028600000000001</v>
      </c>
      <c r="O24" s="630">
        <v>13028.6</v>
      </c>
      <c r="P24" s="629">
        <v>813.34699999999998</v>
      </c>
      <c r="Q24" s="155">
        <f t="shared" si="4"/>
        <v>-2.1929824562131502E-6</v>
      </c>
      <c r="R24" s="156">
        <f t="shared" si="5"/>
        <v>-2.1929824562131502E-6</v>
      </c>
      <c r="S24" s="156">
        <f t="shared" si="6"/>
        <v>-2.1929824561084387E-6</v>
      </c>
      <c r="T24" s="157">
        <f t="shared" si="7"/>
        <v>1.7643922711164433E-7</v>
      </c>
    </row>
    <row r="25" spans="3:20" ht="15.75" thickBot="1" x14ac:dyDescent="0.3">
      <c r="C25" s="141">
        <v>798</v>
      </c>
      <c r="D25" s="290" t="s">
        <v>35</v>
      </c>
      <c r="E25" s="294">
        <f>C25*31.1034768/1000</f>
        <v>24.820574486400002</v>
      </c>
      <c r="F25" s="141">
        <v>820</v>
      </c>
      <c r="G25" s="290" t="s">
        <v>51</v>
      </c>
      <c r="H25" s="291">
        <f>F25/10</f>
        <v>82</v>
      </c>
      <c r="I25" s="316">
        <f t="shared" si="0"/>
        <v>3.0268993276097564E-4</v>
      </c>
      <c r="J25" s="317">
        <f t="shared" si="1"/>
        <v>3.0268993276097564E-4</v>
      </c>
      <c r="K25" s="317">
        <f t="shared" si="2"/>
        <v>0.30268993276097561</v>
      </c>
      <c r="L25" s="291">
        <f t="shared" si="3"/>
        <v>1.889631518919805E-2</v>
      </c>
      <c r="M25" s="675">
        <v>3.0268999999999999E-4</v>
      </c>
      <c r="N25" s="643">
        <v>3.0268999999999999E-4</v>
      </c>
      <c r="O25" s="643">
        <v>0.30269000000000001</v>
      </c>
      <c r="P25" s="642">
        <v>1.8896300000000001E-2</v>
      </c>
      <c r="Q25" s="162">
        <f t="shared" si="4"/>
        <v>-2.2213829095461412E-7</v>
      </c>
      <c r="R25" s="163">
        <f t="shared" si="5"/>
        <v>-2.2213829095461412E-7</v>
      </c>
      <c r="S25" s="163">
        <f t="shared" si="6"/>
        <v>-2.2213829112367938E-7</v>
      </c>
      <c r="T25" s="164">
        <f t="shared" si="7"/>
        <v>8.0381798761033781E-7</v>
      </c>
    </row>
    <row r="26" spans="3:20" ht="15.75" thickTop="1" x14ac:dyDescent="0.25">
      <c r="C26" s="382">
        <v>45</v>
      </c>
      <c r="D26" s="383" t="s">
        <v>32</v>
      </c>
      <c r="E26" s="384">
        <f>C26/1000</f>
        <v>4.4999999999999998E-2</v>
      </c>
      <c r="F26" s="382">
        <v>610</v>
      </c>
      <c r="G26" s="383" t="s">
        <v>52</v>
      </c>
      <c r="H26" s="683">
        <f>F26/1000</f>
        <v>0.61</v>
      </c>
      <c r="I26" s="420">
        <f t="shared" si="0"/>
        <v>7.3770491803278691E-5</v>
      </c>
      <c r="J26" s="421">
        <f t="shared" si="1"/>
        <v>7.3770491803278691E-5</v>
      </c>
      <c r="K26" s="421">
        <f t="shared" si="2"/>
        <v>7.3770491803278687E-2</v>
      </c>
      <c r="L26" s="390">
        <f t="shared" si="3"/>
        <v>4.6053413539778815E-3</v>
      </c>
      <c r="M26" s="678">
        <v>7.3770491803278705E-5</v>
      </c>
      <c r="N26" s="679">
        <v>7.3770491803278705E-5</v>
      </c>
      <c r="O26" s="650">
        <v>7.3770500000000003E-2</v>
      </c>
      <c r="P26" s="649">
        <v>4.6053400000000003E-3</v>
      </c>
      <c r="Q26" s="210">
        <f t="shared" si="4"/>
        <v>-1.8371203478226602E-16</v>
      </c>
      <c r="R26" s="211">
        <f t="shared" si="5"/>
        <v>-1.8371203478226602E-16</v>
      </c>
      <c r="S26" s="211">
        <f t="shared" si="6"/>
        <v>-1.1111111116673338E-7</v>
      </c>
      <c r="T26" s="212">
        <f t="shared" si="7"/>
        <v>2.9400163356678639E-7</v>
      </c>
    </row>
    <row r="27" spans="3:20" x14ac:dyDescent="0.25">
      <c r="C27" s="213">
        <v>1231</v>
      </c>
      <c r="D27" s="214" t="s">
        <v>30</v>
      </c>
      <c r="E27" s="215">
        <f>C27</f>
        <v>1231</v>
      </c>
      <c r="F27" s="213">
        <v>145</v>
      </c>
      <c r="G27" s="214" t="s">
        <v>52</v>
      </c>
      <c r="H27" s="392">
        <f>F27/1000</f>
        <v>0.14499999999999999</v>
      </c>
      <c r="I27" s="412">
        <f t="shared" si="0"/>
        <v>8.4896551724137943</v>
      </c>
      <c r="J27" s="274">
        <f t="shared" si="1"/>
        <v>8.4896551724137943</v>
      </c>
      <c r="K27" s="274">
        <f t="shared" si="2"/>
        <v>8489.6551724137935</v>
      </c>
      <c r="L27" s="216">
        <f t="shared" si="3"/>
        <v>529.99185840851055</v>
      </c>
      <c r="M27" s="635">
        <v>8.4896600000000007</v>
      </c>
      <c r="N27" s="632">
        <v>8.4896600000000007</v>
      </c>
      <c r="O27" s="632">
        <v>8489.66</v>
      </c>
      <c r="P27" s="631">
        <v>529.99199999999996</v>
      </c>
      <c r="Q27" s="221">
        <f t="shared" si="4"/>
        <v>-5.6864337930155058E-7</v>
      </c>
      <c r="R27" s="222">
        <f t="shared" si="5"/>
        <v>-5.6864337930155058E-7</v>
      </c>
      <c r="S27" s="222">
        <f t="shared" si="6"/>
        <v>-5.6864337930489847E-7</v>
      </c>
      <c r="T27" s="223">
        <f t="shared" si="7"/>
        <v>-2.6715785754671649E-7</v>
      </c>
    </row>
    <row r="28" spans="3:20" x14ac:dyDescent="0.25">
      <c r="C28" s="213">
        <v>12</v>
      </c>
      <c r="D28" s="214" t="s">
        <v>33</v>
      </c>
      <c r="E28" s="215">
        <f>C28*0.45359237</f>
        <v>5.4431084400000005</v>
      </c>
      <c r="F28" s="213">
        <v>785</v>
      </c>
      <c r="G28" s="214" t="s">
        <v>52</v>
      </c>
      <c r="H28" s="392">
        <f>F28/1000</f>
        <v>0.78500000000000003</v>
      </c>
      <c r="I28" s="412">
        <f t="shared" si="0"/>
        <v>6.933896101910828E-3</v>
      </c>
      <c r="J28" s="274">
        <f t="shared" si="1"/>
        <v>6.933896101910828E-3</v>
      </c>
      <c r="K28" s="274">
        <f t="shared" si="2"/>
        <v>6.9338961019108281</v>
      </c>
      <c r="L28" s="216">
        <f t="shared" si="3"/>
        <v>0.43286899248917204</v>
      </c>
      <c r="M28" s="635">
        <v>6.9338999999999998E-3</v>
      </c>
      <c r="N28" s="632">
        <v>6.9338999999999998E-3</v>
      </c>
      <c r="O28" s="632">
        <v>6.9339000000000004</v>
      </c>
      <c r="P28" s="631">
        <v>0.432869</v>
      </c>
      <c r="Q28" s="221">
        <f t="shared" si="4"/>
        <v>-5.6217876854085028E-7</v>
      </c>
      <c r="R28" s="222">
        <f t="shared" si="5"/>
        <v>-5.6217876854085028E-7</v>
      </c>
      <c r="S28" s="222">
        <f t="shared" si="6"/>
        <v>-5.6217876862391002E-7</v>
      </c>
      <c r="T28" s="223">
        <f t="shared" si="7"/>
        <v>-1.7351272763585662E-8</v>
      </c>
    </row>
    <row r="29" spans="3:20" x14ac:dyDescent="0.25">
      <c r="C29" s="213">
        <v>456</v>
      </c>
      <c r="D29" s="214" t="s">
        <v>34</v>
      </c>
      <c r="E29" s="215">
        <f>C29*1000</f>
        <v>456000</v>
      </c>
      <c r="F29" s="213">
        <v>320</v>
      </c>
      <c r="G29" s="214" t="s">
        <v>52</v>
      </c>
      <c r="H29" s="392">
        <f>F29/1000</f>
        <v>0.32</v>
      </c>
      <c r="I29" s="412">
        <f t="shared" si="0"/>
        <v>1425</v>
      </c>
      <c r="J29" s="274">
        <f t="shared" si="1"/>
        <v>1425</v>
      </c>
      <c r="K29" s="274">
        <f t="shared" si="2"/>
        <v>1425000</v>
      </c>
      <c r="L29" s="216">
        <f t="shared" si="3"/>
        <v>88959.843821006085</v>
      </c>
      <c r="M29" s="635">
        <v>1425</v>
      </c>
      <c r="N29" s="632">
        <v>1425</v>
      </c>
      <c r="O29" s="632">
        <v>1425000</v>
      </c>
      <c r="P29" s="631">
        <v>88959.8</v>
      </c>
      <c r="Q29" s="221">
        <f t="shared" si="4"/>
        <v>0</v>
      </c>
      <c r="R29" s="222">
        <f t="shared" si="5"/>
        <v>0</v>
      </c>
      <c r="S29" s="222">
        <f t="shared" si="6"/>
        <v>0</v>
      </c>
      <c r="T29" s="223">
        <f t="shared" si="7"/>
        <v>4.9259310942777191E-7</v>
      </c>
    </row>
    <row r="30" spans="3:20" ht="15.75" thickBot="1" x14ac:dyDescent="0.3">
      <c r="C30" s="227">
        <v>87</v>
      </c>
      <c r="D30" s="228" t="s">
        <v>35</v>
      </c>
      <c r="E30" s="229">
        <f>C30*31.1034768/1000</f>
        <v>2.7060024816000001</v>
      </c>
      <c r="F30" s="227">
        <v>122</v>
      </c>
      <c r="G30" s="228" t="s">
        <v>52</v>
      </c>
      <c r="H30" s="684">
        <f>F30/1000</f>
        <v>0.122</v>
      </c>
      <c r="I30" s="422">
        <f t="shared" si="0"/>
        <v>2.2180348209836064E-2</v>
      </c>
      <c r="J30" s="423">
        <f t="shared" si="1"/>
        <v>2.2180348209836064E-2</v>
      </c>
      <c r="K30" s="423">
        <f t="shared" si="2"/>
        <v>22.180348209836065</v>
      </c>
      <c r="L30" s="230">
        <f t="shared" si="3"/>
        <v>1.3846739036088058</v>
      </c>
      <c r="M30" s="680">
        <v>2.21803E-2</v>
      </c>
      <c r="N30" s="658">
        <v>2.21803E-2</v>
      </c>
      <c r="O30" s="658">
        <v>22.180299999999999</v>
      </c>
      <c r="P30" s="657">
        <v>1.3846700000000001</v>
      </c>
      <c r="Q30" s="437">
        <f t="shared" si="4"/>
        <v>2.1735382875022809E-6</v>
      </c>
      <c r="R30" s="438">
        <f t="shared" si="5"/>
        <v>2.1735382875022809E-6</v>
      </c>
      <c r="S30" s="438">
        <f t="shared" si="6"/>
        <v>2.1735382875986356E-6</v>
      </c>
      <c r="T30" s="439">
        <f t="shared" si="7"/>
        <v>2.8191538784558408E-6</v>
      </c>
    </row>
    <row r="31" spans="3:20" ht="18" thickTop="1" x14ac:dyDescent="0.25">
      <c r="C31" s="1648">
        <v>456</v>
      </c>
      <c r="D31" s="64" t="s">
        <v>32</v>
      </c>
      <c r="E31" s="1253">
        <f>C31/1000</f>
        <v>0.45600000000000002</v>
      </c>
      <c r="F31" s="1648">
        <v>569</v>
      </c>
      <c r="G31" s="64" t="s">
        <v>68</v>
      </c>
      <c r="H31" s="77">
        <f>F31</f>
        <v>569</v>
      </c>
      <c r="I31" s="1683">
        <f t="shared" si="0"/>
        <v>8.0140597539543059E-7</v>
      </c>
      <c r="J31" s="131">
        <f t="shared" si="1"/>
        <v>8.0140597539543059E-7</v>
      </c>
      <c r="K31" s="131">
        <f t="shared" si="2"/>
        <v>8.0140597539543059E-4</v>
      </c>
      <c r="L31" s="56">
        <f t="shared" si="3"/>
        <v>5.0030140637472663E-5</v>
      </c>
      <c r="M31" s="1711">
        <v>8.0140597539543102E-7</v>
      </c>
      <c r="N31" s="1704">
        <v>8.0140597539543102E-7</v>
      </c>
      <c r="O31" s="1685">
        <v>8.0140599999999995E-4</v>
      </c>
      <c r="P31" s="1712">
        <v>5.0030140637472703E-5</v>
      </c>
      <c r="Q31" s="136">
        <f t="shared" si="4"/>
        <v>-5.284668278373869E-16</v>
      </c>
      <c r="R31" s="139">
        <f t="shared" si="5"/>
        <v>-5.284668278373869E-16</v>
      </c>
      <c r="S31" s="139">
        <f t="shared" si="6"/>
        <v>-3.0701754309175139E-8</v>
      </c>
      <c r="T31" s="137">
        <f t="shared" si="7"/>
        <v>-8.1266174650234374E-16</v>
      </c>
    </row>
    <row r="32" spans="3:20" ht="17.25" x14ac:dyDescent="0.25">
      <c r="C32" s="1648">
        <v>84</v>
      </c>
      <c r="D32" s="64" t="s">
        <v>30</v>
      </c>
      <c r="E32" s="1253">
        <f>C32</f>
        <v>84</v>
      </c>
      <c r="F32" s="1648">
        <v>958</v>
      </c>
      <c r="G32" s="64" t="s">
        <v>53</v>
      </c>
      <c r="H32" s="77">
        <f>F32</f>
        <v>958</v>
      </c>
      <c r="I32" s="1683">
        <f t="shared" si="0"/>
        <v>8.7682672233820467E-5</v>
      </c>
      <c r="J32" s="131">
        <f t="shared" si="1"/>
        <v>8.7682672233820467E-5</v>
      </c>
      <c r="K32" s="131">
        <f t="shared" si="2"/>
        <v>8.7682672233820466E-2</v>
      </c>
      <c r="L32" s="56">
        <f t="shared" si="3"/>
        <v>5.4738504054239545E-3</v>
      </c>
      <c r="M32" s="1711">
        <v>8.7682672233820494E-5</v>
      </c>
      <c r="N32" s="1704">
        <v>8.7682672233820494E-5</v>
      </c>
      <c r="O32" s="1685">
        <v>8.7682700000000002E-2</v>
      </c>
      <c r="P32" s="1684">
        <v>5.4738499999999997E-3</v>
      </c>
      <c r="Q32" s="136">
        <f t="shared" si="4"/>
        <v>-3.0912669084556941E-16</v>
      </c>
      <c r="R32" s="139">
        <f t="shared" si="5"/>
        <v>-3.0912669084556941E-16</v>
      </c>
      <c r="S32" s="139">
        <f t="shared" si="6"/>
        <v>-3.1666666661464424E-7</v>
      </c>
      <c r="T32" s="137">
        <f t="shared" si="7"/>
        <v>7.4065589082018069E-8</v>
      </c>
    </row>
    <row r="33" spans="3:26" ht="17.25" x14ac:dyDescent="0.25">
      <c r="C33" s="1648">
        <v>213</v>
      </c>
      <c r="D33" s="64" t="s">
        <v>33</v>
      </c>
      <c r="E33" s="1253">
        <f>C33*0.45359237</f>
        <v>96.615174809999999</v>
      </c>
      <c r="F33" s="1648">
        <v>150</v>
      </c>
      <c r="G33" s="64" t="s">
        <v>68</v>
      </c>
      <c r="H33" s="77">
        <f>F33</f>
        <v>150</v>
      </c>
      <c r="I33" s="1683">
        <f t="shared" si="0"/>
        <v>6.4410116539999991E-4</v>
      </c>
      <c r="J33" s="131">
        <f t="shared" si="1"/>
        <v>6.4410116539999991E-4</v>
      </c>
      <c r="K33" s="131">
        <f t="shared" si="2"/>
        <v>0.64410116539999995</v>
      </c>
      <c r="L33" s="56">
        <f t="shared" si="3"/>
        <v>4.0209922160640003E-2</v>
      </c>
      <c r="M33" s="1713">
        <v>6.4410100000000001E-4</v>
      </c>
      <c r="N33" s="1685">
        <v>6.4410100000000001E-4</v>
      </c>
      <c r="O33" s="1685">
        <v>0.64410100000000003</v>
      </c>
      <c r="P33" s="1684">
        <v>4.02099E-2</v>
      </c>
      <c r="Q33" s="136">
        <f t="shared" si="4"/>
        <v>2.5679195876033322E-7</v>
      </c>
      <c r="R33" s="139">
        <f t="shared" si="5"/>
        <v>2.5679195876033322E-7</v>
      </c>
      <c r="S33" s="139">
        <f t="shared" si="6"/>
        <v>2.5679195878457244E-7</v>
      </c>
      <c r="T33" s="137">
        <f t="shared" si="7"/>
        <v>5.5112367328308806E-7</v>
      </c>
    </row>
    <row r="34" spans="3:26" ht="17.25" x14ac:dyDescent="0.25">
      <c r="C34" s="1648">
        <v>489</v>
      </c>
      <c r="D34" s="64" t="s">
        <v>34</v>
      </c>
      <c r="E34" s="1253">
        <f>C34*1000</f>
        <v>489000</v>
      </c>
      <c r="F34" s="1648">
        <v>755</v>
      </c>
      <c r="G34" s="64" t="s">
        <v>70</v>
      </c>
      <c r="H34" s="77">
        <f>F34</f>
        <v>755</v>
      </c>
      <c r="I34" s="1683">
        <f t="shared" si="0"/>
        <v>0.64768211920529806</v>
      </c>
      <c r="J34" s="131">
        <f t="shared" si="1"/>
        <v>0.64768211920529806</v>
      </c>
      <c r="K34" s="131">
        <f t="shared" si="2"/>
        <v>647.68211920529802</v>
      </c>
      <c r="L34" s="56">
        <f t="shared" si="3"/>
        <v>40.433473803622142</v>
      </c>
      <c r="M34" s="1713">
        <v>0.64768199999999998</v>
      </c>
      <c r="N34" s="1685">
        <v>0.64768199999999998</v>
      </c>
      <c r="O34" s="1685">
        <v>647.68200000000002</v>
      </c>
      <c r="P34" s="1684">
        <v>40.433500000000002</v>
      </c>
      <c r="Q34" s="136">
        <f t="shared" si="4"/>
        <v>1.8404907985297986E-7</v>
      </c>
      <c r="R34" s="139">
        <f t="shared" si="5"/>
        <v>1.8404907985297986E-7</v>
      </c>
      <c r="S34" s="139">
        <f t="shared" si="6"/>
        <v>1.8404907974327438E-7</v>
      </c>
      <c r="T34" s="137">
        <f t="shared" si="7"/>
        <v>-6.478883804805839E-7</v>
      </c>
    </row>
    <row r="35" spans="3:26" ht="18" thickBot="1" x14ac:dyDescent="0.3">
      <c r="C35" s="1654">
        <v>684</v>
      </c>
      <c r="D35" s="1655" t="s">
        <v>35</v>
      </c>
      <c r="E35" s="1688">
        <f>C35*31.1034768/1000</f>
        <v>21.274778131200001</v>
      </c>
      <c r="F35" s="1654">
        <v>744</v>
      </c>
      <c r="G35" s="1655" t="s">
        <v>68</v>
      </c>
      <c r="H35" s="1714">
        <f>F35</f>
        <v>744</v>
      </c>
      <c r="I35" s="1687">
        <f t="shared" si="0"/>
        <v>2.8595131896774196E-5</v>
      </c>
      <c r="J35" s="1689">
        <f t="shared" si="1"/>
        <v>2.8595131896774196E-5</v>
      </c>
      <c r="K35" s="1689">
        <f t="shared" si="2"/>
        <v>2.8595131896774196E-2</v>
      </c>
      <c r="L35" s="1658">
        <f t="shared" si="3"/>
        <v>1.7851357667214749E-3</v>
      </c>
      <c r="M35" s="1715">
        <v>2.85951318967742E-5</v>
      </c>
      <c r="N35" s="1716">
        <v>2.85951318967742E-5</v>
      </c>
      <c r="O35" s="1691">
        <v>2.8595099999999998E-2</v>
      </c>
      <c r="P35" s="1690">
        <v>1.7851399999999999E-3</v>
      </c>
      <c r="Q35" s="1692">
        <f t="shared" si="4"/>
        <v>-1.1848631442750629E-16</v>
      </c>
      <c r="R35" s="1694">
        <f t="shared" si="5"/>
        <v>-1.1848631442750629E-16</v>
      </c>
      <c r="S35" s="1694">
        <f t="shared" si="6"/>
        <v>1.1154616916173994E-6</v>
      </c>
      <c r="T35" s="1695">
        <f t="shared" si="7"/>
        <v>-2.3714042393576191E-6</v>
      </c>
    </row>
    <row r="36" spans="3:26" ht="15.75" thickTop="1" x14ac:dyDescent="0.25">
      <c r="C36" s="1784">
        <v>589</v>
      </c>
      <c r="D36" s="1785" t="s">
        <v>32</v>
      </c>
      <c r="E36" s="1786">
        <f>C36/1000</f>
        <v>0.58899999999999997</v>
      </c>
      <c r="F36" s="1784">
        <v>560</v>
      </c>
      <c r="G36" s="1785" t="s">
        <v>54</v>
      </c>
      <c r="H36" s="1860">
        <f>F36/1000000</f>
        <v>5.5999999999999995E-4</v>
      </c>
      <c r="I36" s="1835">
        <f t="shared" si="0"/>
        <v>1.0517857142857143</v>
      </c>
      <c r="J36" s="1836">
        <f t="shared" si="1"/>
        <v>1.0517857142857143</v>
      </c>
      <c r="K36" s="1836">
        <f t="shared" si="2"/>
        <v>1051.7857142857142</v>
      </c>
      <c r="L36" s="1837">
        <f t="shared" si="3"/>
        <v>65.660837105980676</v>
      </c>
      <c r="M36" s="1861">
        <v>1.05179</v>
      </c>
      <c r="N36" s="1839">
        <v>1.05179</v>
      </c>
      <c r="O36" s="1839">
        <v>1051.79</v>
      </c>
      <c r="P36" s="1838">
        <v>65.660799999999995</v>
      </c>
      <c r="Q36" s="1793">
        <f t="shared" si="4"/>
        <v>-4.0747028862142542E-6</v>
      </c>
      <c r="R36" s="1794">
        <f t="shared" si="5"/>
        <v>-4.0747028862142542E-6</v>
      </c>
      <c r="S36" s="1794">
        <f t="shared" si="6"/>
        <v>-4.0747028862750551E-6</v>
      </c>
      <c r="T36" s="1795">
        <f t="shared" si="7"/>
        <v>5.6511586383023474E-7</v>
      </c>
    </row>
    <row r="37" spans="3:26" x14ac:dyDescent="0.25">
      <c r="C37" s="1796">
        <v>56</v>
      </c>
      <c r="D37" s="1797" t="s">
        <v>30</v>
      </c>
      <c r="E37" s="1798">
        <f>C37</f>
        <v>56</v>
      </c>
      <c r="F37" s="1796">
        <v>455</v>
      </c>
      <c r="G37" s="1797" t="s">
        <v>54</v>
      </c>
      <c r="H37" s="1862">
        <f>F37/1000000</f>
        <v>4.55E-4</v>
      </c>
      <c r="I37" s="1841">
        <f t="shared" si="0"/>
        <v>123.07692307692308</v>
      </c>
      <c r="J37" s="1842">
        <f t="shared" si="1"/>
        <v>123.07692307692308</v>
      </c>
      <c r="K37" s="1842">
        <f t="shared" si="2"/>
        <v>123076.92307692308</v>
      </c>
      <c r="L37" s="1800">
        <f t="shared" si="3"/>
        <v>7683.4413016793378</v>
      </c>
      <c r="M37" s="1863">
        <v>123.077</v>
      </c>
      <c r="N37" s="1844">
        <v>123.077</v>
      </c>
      <c r="O37" s="1844">
        <v>123077</v>
      </c>
      <c r="P37" s="1843">
        <v>7683.44</v>
      </c>
      <c r="Q37" s="1845">
        <f t="shared" si="4"/>
        <v>-6.2499999995857538E-7</v>
      </c>
      <c r="R37" s="1847">
        <f t="shared" si="5"/>
        <v>-6.2499999995857538E-7</v>
      </c>
      <c r="S37" s="1847">
        <f t="shared" si="6"/>
        <v>-6.2499999999090503E-7</v>
      </c>
      <c r="T37" s="1848">
        <f t="shared" si="7"/>
        <v>1.6941358528080671E-7</v>
      </c>
    </row>
    <row r="38" spans="3:26" x14ac:dyDescent="0.25">
      <c r="C38" s="1796">
        <v>84</v>
      </c>
      <c r="D38" s="1797" t="s">
        <v>33</v>
      </c>
      <c r="E38" s="1798">
        <f>C38*0.45359237</f>
        <v>38.101759080000001</v>
      </c>
      <c r="F38" s="1796">
        <v>15009</v>
      </c>
      <c r="G38" s="1797" t="s">
        <v>54</v>
      </c>
      <c r="H38" s="1862">
        <f>F38/1000000</f>
        <v>1.5009E-2</v>
      </c>
      <c r="I38" s="1841">
        <f t="shared" si="0"/>
        <v>2.5385941155306817</v>
      </c>
      <c r="J38" s="1842">
        <f t="shared" si="1"/>
        <v>2.5385941155306817</v>
      </c>
      <c r="K38" s="1842">
        <f t="shared" si="2"/>
        <v>2538.5941155306818</v>
      </c>
      <c r="L38" s="1800">
        <f t="shared" si="3"/>
        <v>158.47925336318212</v>
      </c>
      <c r="M38" s="1863">
        <v>2.5385900000000001</v>
      </c>
      <c r="N38" s="1844">
        <v>2.5385900000000001</v>
      </c>
      <c r="O38" s="1844">
        <v>2538.59</v>
      </c>
      <c r="P38" s="1843">
        <v>158.47900000000001</v>
      </c>
      <c r="Q38" s="1845">
        <f t="shared" si="4"/>
        <v>1.6211849922769789E-6</v>
      </c>
      <c r="R38" s="1847">
        <f t="shared" si="5"/>
        <v>1.6211849922769789E-6</v>
      </c>
      <c r="S38" s="1847">
        <f t="shared" si="6"/>
        <v>1.621184992324561E-6</v>
      </c>
      <c r="T38" s="1848">
        <f t="shared" si="7"/>
        <v>1.5987151424184439E-6</v>
      </c>
    </row>
    <row r="39" spans="3:26" x14ac:dyDescent="0.25">
      <c r="C39" s="1796">
        <v>265</v>
      </c>
      <c r="D39" s="1797" t="s">
        <v>34</v>
      </c>
      <c r="E39" s="1798">
        <f>C39*1000</f>
        <v>265000</v>
      </c>
      <c r="F39" s="1796">
        <v>385</v>
      </c>
      <c r="G39" s="1797" t="s">
        <v>54</v>
      </c>
      <c r="H39" s="1862">
        <f>F39/1000000</f>
        <v>3.8499999999999998E-4</v>
      </c>
      <c r="I39" s="1841">
        <f t="shared" si="0"/>
        <v>688311.68831168825</v>
      </c>
      <c r="J39" s="1842">
        <f t="shared" si="1"/>
        <v>688311.68831168825</v>
      </c>
      <c r="K39" s="1842">
        <f t="shared" si="2"/>
        <v>688311688.3116883</v>
      </c>
      <c r="L39" s="1800">
        <f t="shared" si="3"/>
        <v>42969894.942021623</v>
      </c>
      <c r="M39" s="1863">
        <v>688312</v>
      </c>
      <c r="N39" s="1844">
        <v>688312</v>
      </c>
      <c r="O39" s="1844">
        <v>688311688</v>
      </c>
      <c r="P39" s="1843">
        <v>42969895</v>
      </c>
      <c r="Q39" s="1845">
        <f t="shared" si="4"/>
        <v>-4.528301887649094E-7</v>
      </c>
      <c r="R39" s="1847">
        <f t="shared" si="5"/>
        <v>-4.528301887649094E-7</v>
      </c>
      <c r="S39" s="1847">
        <f t="shared" si="6"/>
        <v>4.5283017743308589E-10</v>
      </c>
      <c r="T39" s="1848">
        <f t="shared" si="7"/>
        <v>-1.3492789969444114E-9</v>
      </c>
    </row>
    <row r="40" spans="3:26" ht="15.75" thickBot="1" x14ac:dyDescent="0.3">
      <c r="C40" s="1864">
        <v>98</v>
      </c>
      <c r="D40" s="1852" t="s">
        <v>35</v>
      </c>
      <c r="E40" s="1853">
        <f>C40*31.1034768/1000</f>
        <v>3.0481407263999998</v>
      </c>
      <c r="F40" s="1864">
        <v>1245</v>
      </c>
      <c r="G40" s="1852" t="s">
        <v>54</v>
      </c>
      <c r="H40" s="1865">
        <f>F40/1000000</f>
        <v>1.245E-3</v>
      </c>
      <c r="I40" s="1851">
        <f t="shared" si="0"/>
        <v>2.4483058043373496</v>
      </c>
      <c r="J40" s="1854">
        <f t="shared" si="1"/>
        <v>2.4483058043373496</v>
      </c>
      <c r="K40" s="1854">
        <f t="shared" si="2"/>
        <v>2448.3058043373494</v>
      </c>
      <c r="L40" s="1855">
        <f t="shared" si="3"/>
        <v>152.8427382315181</v>
      </c>
      <c r="M40" s="1866">
        <v>2.4483100000000002</v>
      </c>
      <c r="N40" s="1857">
        <v>2.4483100000000002</v>
      </c>
      <c r="O40" s="1857">
        <v>2448.31</v>
      </c>
      <c r="P40" s="1856">
        <v>152.84299999999999</v>
      </c>
      <c r="Q40" s="1822">
        <f t="shared" si="4"/>
        <v>-1.713700405892221E-6</v>
      </c>
      <c r="R40" s="1823">
        <f t="shared" si="5"/>
        <v>-1.713700405892221E-6</v>
      </c>
      <c r="S40" s="1823">
        <f t="shared" si="6"/>
        <v>-1.7137004058530417E-6</v>
      </c>
      <c r="T40" s="1824">
        <f t="shared" si="7"/>
        <v>-1.7126654816600394E-6</v>
      </c>
    </row>
    <row r="41" spans="3:26" ht="15.75" thickTop="1" x14ac:dyDescent="0.25"/>
    <row r="42" spans="3:26" ht="15.75" thickBot="1" x14ac:dyDescent="0.3"/>
    <row r="43" spans="3:26" ht="15.75" thickTop="1" x14ac:dyDescent="0.25">
      <c r="C43" s="2488" t="s">
        <v>0</v>
      </c>
      <c r="D43" s="2489"/>
      <c r="E43" s="2489"/>
      <c r="F43" s="2489"/>
      <c r="G43" s="2489"/>
      <c r="H43" s="2489"/>
      <c r="I43" s="2483" t="s">
        <v>158</v>
      </c>
      <c r="J43" s="2484"/>
      <c r="K43" s="2484"/>
      <c r="L43" s="2484"/>
      <c r="M43" s="2484"/>
      <c r="N43" s="2485"/>
      <c r="O43" s="2489" t="s">
        <v>17</v>
      </c>
      <c r="P43" s="2489"/>
      <c r="Q43" s="2489"/>
      <c r="R43" s="2489"/>
      <c r="S43" s="2489"/>
      <c r="T43" s="2489"/>
      <c r="U43" s="2483" t="s">
        <v>8</v>
      </c>
      <c r="V43" s="2484"/>
      <c r="W43" s="2484"/>
      <c r="X43" s="2484"/>
      <c r="Y43" s="2484"/>
      <c r="Z43" s="2485"/>
    </row>
    <row r="44" spans="3:26" ht="15.75" thickBot="1" x14ac:dyDescent="0.3">
      <c r="C44" s="2486" t="s">
        <v>72</v>
      </c>
      <c r="D44" s="2487"/>
      <c r="E44" s="2487"/>
      <c r="F44" s="2486" t="s">
        <v>28</v>
      </c>
      <c r="G44" s="2487"/>
      <c r="H44" s="2487"/>
      <c r="I44" s="2480" t="s">
        <v>71</v>
      </c>
      <c r="J44" s="2481"/>
      <c r="K44" s="2481"/>
      <c r="L44" s="2481"/>
      <c r="M44" s="2481"/>
      <c r="N44" s="2482"/>
      <c r="O44" s="2486" t="s">
        <v>71</v>
      </c>
      <c r="P44" s="2487"/>
      <c r="Q44" s="2487"/>
      <c r="R44" s="2487"/>
      <c r="S44" s="2487"/>
      <c r="T44" s="2496"/>
      <c r="U44" s="2480" t="s">
        <v>71</v>
      </c>
      <c r="V44" s="2481"/>
      <c r="W44" s="2481"/>
      <c r="X44" s="2481"/>
      <c r="Y44" s="2481"/>
      <c r="Z44" s="2482"/>
    </row>
    <row r="45" spans="3:26" ht="18" thickBot="1" x14ac:dyDescent="0.3">
      <c r="C45" s="14" t="s">
        <v>3</v>
      </c>
      <c r="D45" s="65" t="s">
        <v>4</v>
      </c>
      <c r="E45" s="50" t="s">
        <v>76</v>
      </c>
      <c r="F45" s="14" t="s">
        <v>3</v>
      </c>
      <c r="G45" s="65" t="s">
        <v>4</v>
      </c>
      <c r="H45" s="50" t="s">
        <v>30</v>
      </c>
      <c r="I45" s="13" t="s">
        <v>49</v>
      </c>
      <c r="J45" s="79" t="s">
        <v>50</v>
      </c>
      <c r="K45" s="79" t="s">
        <v>51</v>
      </c>
      <c r="L45" s="79" t="s">
        <v>52</v>
      </c>
      <c r="M45" s="79" t="s">
        <v>68</v>
      </c>
      <c r="N45" s="54" t="s">
        <v>54</v>
      </c>
      <c r="O45" s="50" t="s">
        <v>49</v>
      </c>
      <c r="P45" s="80" t="s">
        <v>50</v>
      </c>
      <c r="Q45" s="80" t="s">
        <v>51</v>
      </c>
      <c r="R45" s="80" t="s">
        <v>52</v>
      </c>
      <c r="S45" s="80" t="s">
        <v>68</v>
      </c>
      <c r="T45" s="50" t="s">
        <v>54</v>
      </c>
      <c r="U45" s="13" t="s">
        <v>49</v>
      </c>
      <c r="V45" s="79" t="s">
        <v>50</v>
      </c>
      <c r="W45" s="79" t="s">
        <v>51</v>
      </c>
      <c r="X45" s="79" t="s">
        <v>52</v>
      </c>
      <c r="Y45" s="79" t="s">
        <v>68</v>
      </c>
      <c r="Z45" s="54" t="s">
        <v>54</v>
      </c>
    </row>
    <row r="46" spans="3:26" ht="18" thickTop="1" x14ac:dyDescent="0.25">
      <c r="C46" s="968">
        <v>3567</v>
      </c>
      <c r="D46" s="964" t="s">
        <v>75</v>
      </c>
      <c r="E46" s="965">
        <f>C46*1000</f>
        <v>3567000</v>
      </c>
      <c r="F46" s="968">
        <v>3345</v>
      </c>
      <c r="G46" s="964" t="s">
        <v>32</v>
      </c>
      <c r="H46" s="965">
        <f>F46/1000</f>
        <v>3.3450000000000002</v>
      </c>
      <c r="I46" s="968">
        <f>M46*100000</f>
        <v>9.3776282590412111E-2</v>
      </c>
      <c r="J46" s="1085">
        <f>M46*10000</f>
        <v>9.3776282590412111E-3</v>
      </c>
      <c r="K46" s="1085">
        <f>M46*10</f>
        <v>9.3776282590412115E-6</v>
      </c>
      <c r="L46" s="1085">
        <f>M46*1000</f>
        <v>9.3776282590412111E-4</v>
      </c>
      <c r="M46" s="1085">
        <f>H46/E46</f>
        <v>9.3776282590412115E-7</v>
      </c>
      <c r="N46" s="967">
        <f>M46*1000000</f>
        <v>0.93776282590412119</v>
      </c>
      <c r="O46" s="1086">
        <v>9.3776300000000007E-2</v>
      </c>
      <c r="P46" s="1087">
        <v>9.3776299999999996E-3</v>
      </c>
      <c r="Q46" s="1088">
        <v>9.3776282590412098E-6</v>
      </c>
      <c r="R46" s="1087">
        <v>9.3776299999999999E-4</v>
      </c>
      <c r="S46" s="1088">
        <v>9.3776282590412104E-7</v>
      </c>
      <c r="T46" s="1086">
        <v>0.93776300000000001</v>
      </c>
      <c r="U46" s="885">
        <f t="shared" ref="U46:Z46" si="8" xml:space="preserve"> (I46-O46)/I46</f>
        <v>-1.8565022429339685E-7</v>
      </c>
      <c r="V46" s="886">
        <f t="shared" si="8"/>
        <v>-1.8565022418240565E-7</v>
      </c>
      <c r="W46" s="886">
        <f t="shared" si="8"/>
        <v>1.8064971736060324E-16</v>
      </c>
      <c r="X46" s="886">
        <f t="shared" si="8"/>
        <v>-1.8565022420552883E-7</v>
      </c>
      <c r="Y46" s="886">
        <f t="shared" si="8"/>
        <v>1.1290607335037703E-16</v>
      </c>
      <c r="Z46" s="887">
        <f t="shared" si="8"/>
        <v>-1.8565022414540857E-7</v>
      </c>
    </row>
    <row r="47" spans="3:26" x14ac:dyDescent="0.25">
      <c r="C47" s="1059">
        <v>564</v>
      </c>
      <c r="D47" s="59" t="s">
        <v>73</v>
      </c>
      <c r="E47" s="32">
        <f>C47*1000</f>
        <v>564000</v>
      </c>
      <c r="F47" s="1059">
        <v>445</v>
      </c>
      <c r="G47" s="59" t="s">
        <v>32</v>
      </c>
      <c r="H47" s="32">
        <f>F47/1000</f>
        <v>0.44500000000000001</v>
      </c>
      <c r="I47" s="1059">
        <f t="shared" ref="I47:I65" si="9">M47*100000</f>
        <v>7.8900709219858159E-2</v>
      </c>
      <c r="J47" s="1060">
        <f t="shared" ref="J47:J65" si="10">M47*10000</f>
        <v>7.8900709219858148E-3</v>
      </c>
      <c r="K47" s="1060">
        <f t="shared" ref="K47:K65" si="11">M47*10</f>
        <v>7.8900709219858158E-6</v>
      </c>
      <c r="L47" s="1060">
        <f t="shared" ref="L47:L65" si="12">M47*1000</f>
        <v>7.8900709219858155E-4</v>
      </c>
      <c r="M47" s="1060">
        <f t="shared" ref="M47:M65" si="13">H47/E47</f>
        <v>7.8900709219858156E-7</v>
      </c>
      <c r="N47" s="889">
        <f t="shared" ref="N47:N65" si="14">M47*1000000</f>
        <v>0.78900709219858156</v>
      </c>
      <c r="O47" s="1061">
        <v>7.8900700000000004E-2</v>
      </c>
      <c r="P47" s="1062">
        <v>7.8900700000000008E-3</v>
      </c>
      <c r="Q47" s="1079">
        <v>7.8900709219858192E-6</v>
      </c>
      <c r="R47" s="1062">
        <v>7.8900699999999999E-4</v>
      </c>
      <c r="S47" s="1079">
        <v>7.8900709219858199E-7</v>
      </c>
      <c r="T47" s="1061">
        <v>0.78900700000000001</v>
      </c>
      <c r="U47" s="897">
        <f t="shared" ref="U47:U65" si="15" xml:space="preserve"> (I47-O47)/I47</f>
        <v>1.168539325676708E-7</v>
      </c>
      <c r="V47" s="898">
        <f t="shared" ref="V47:V65" si="16" xml:space="preserve"> (J47-P47)/J47</f>
        <v>1.1685393239178155E-7</v>
      </c>
      <c r="W47" s="898">
        <f t="shared" ref="W47:W65" si="17" xml:space="preserve"> (K47-Q47)/K47</f>
        <v>-4.2941715258555088E-16</v>
      </c>
      <c r="X47" s="898">
        <f t="shared" ref="X47:X65" si="18" xml:space="preserve"> (L47-R47)/L47</f>
        <v>1.1685393258416043E-7</v>
      </c>
      <c r="Y47" s="898">
        <f t="shared" ref="Y47:Y65" si="19" xml:space="preserve"> (M47-S47)/M47</f>
        <v>-5.3677144073193866E-16</v>
      </c>
      <c r="Z47" s="899">
        <f t="shared" ref="Z47:Z65" si="20" xml:space="preserve"> (N47-T47)/N47</f>
        <v>1.1685393256767081E-7</v>
      </c>
    </row>
    <row r="48" spans="3:26" ht="17.25" x14ac:dyDescent="0.25">
      <c r="C48" s="1059">
        <v>11245</v>
      </c>
      <c r="D48" s="59" t="s">
        <v>76</v>
      </c>
      <c r="E48" s="32">
        <f>C48</f>
        <v>11245</v>
      </c>
      <c r="F48" s="1059">
        <v>899</v>
      </c>
      <c r="G48" s="59" t="s">
        <v>32</v>
      </c>
      <c r="H48" s="32">
        <f>F48/1000</f>
        <v>0.89900000000000002</v>
      </c>
      <c r="I48" s="1059">
        <f t="shared" si="9"/>
        <v>7.9946642952423304</v>
      </c>
      <c r="J48" s="1060">
        <f t="shared" si="10"/>
        <v>0.79946642952423297</v>
      </c>
      <c r="K48" s="1060">
        <f t="shared" si="11"/>
        <v>7.99466429524233E-4</v>
      </c>
      <c r="L48" s="1060">
        <f t="shared" si="12"/>
        <v>7.9946642952423305E-2</v>
      </c>
      <c r="M48" s="1060">
        <f t="shared" si="13"/>
        <v>7.99466429524233E-5</v>
      </c>
      <c r="N48" s="889">
        <f t="shared" si="14"/>
        <v>79.946642952423304</v>
      </c>
      <c r="O48" s="1061">
        <v>7.9946599999999997</v>
      </c>
      <c r="P48" s="1062">
        <v>0.79946600000000001</v>
      </c>
      <c r="Q48" s="1062">
        <v>7.9946599999999998E-4</v>
      </c>
      <c r="R48" s="1062">
        <v>7.9946600000000007E-2</v>
      </c>
      <c r="S48" s="1079">
        <v>7.99466429524233E-5</v>
      </c>
      <c r="T48" s="1061">
        <v>79.946600000000004</v>
      </c>
      <c r="U48" s="897">
        <f t="shared" si="15"/>
        <v>5.3726362634822319E-7</v>
      </c>
      <c r="V48" s="898">
        <f t="shared" si="16"/>
        <v>5.3726362620935277E-7</v>
      </c>
      <c r="W48" s="898">
        <f t="shared" si="17"/>
        <v>5.3726362628746742E-7</v>
      </c>
      <c r="X48" s="898">
        <f t="shared" si="18"/>
        <v>5.3726362624407033E-7</v>
      </c>
      <c r="Y48" s="898">
        <f t="shared" si="19"/>
        <v>0</v>
      </c>
      <c r="Z48" s="899">
        <f t="shared" si="20"/>
        <v>5.3726362625934604E-7</v>
      </c>
    </row>
    <row r="49" spans="3:26" ht="15.75" thickBot="1" x14ac:dyDescent="0.3">
      <c r="C49" s="1072">
        <v>5632</v>
      </c>
      <c r="D49" s="60" t="s">
        <v>74</v>
      </c>
      <c r="E49" s="55">
        <f>C49*(0.45359237/0.3048^3)</f>
        <v>90215.985722143494</v>
      </c>
      <c r="F49" s="1072">
        <v>564</v>
      </c>
      <c r="G49" s="60" t="s">
        <v>32</v>
      </c>
      <c r="H49" s="55">
        <f>F49/1000</f>
        <v>0.56399999999999995</v>
      </c>
      <c r="I49" s="1072">
        <f t="shared" si="9"/>
        <v>0.62516636656508451</v>
      </c>
      <c r="J49" s="1073">
        <f t="shared" si="10"/>
        <v>6.2516636656508459E-2</v>
      </c>
      <c r="K49" s="1073">
        <f t="shared" si="11"/>
        <v>6.2516636656508446E-5</v>
      </c>
      <c r="L49" s="1073">
        <f t="shared" si="12"/>
        <v>6.2516636656508454E-3</v>
      </c>
      <c r="M49" s="1073">
        <f t="shared" si="13"/>
        <v>6.2516636656508453E-6</v>
      </c>
      <c r="N49" s="905">
        <f t="shared" si="14"/>
        <v>6.2516636656508453</v>
      </c>
      <c r="O49" s="1089">
        <v>0.625166</v>
      </c>
      <c r="P49" s="1075">
        <v>6.2516600000000005E-2</v>
      </c>
      <c r="Q49" s="1090">
        <v>6.2516636656508406E-5</v>
      </c>
      <c r="R49" s="1075">
        <v>6.25166E-3</v>
      </c>
      <c r="S49" s="1090">
        <v>6.2516636656508402E-6</v>
      </c>
      <c r="T49" s="1089">
        <v>6.2516600000000002</v>
      </c>
      <c r="U49" s="945">
        <f t="shared" si="15"/>
        <v>5.8634805727419997E-7</v>
      </c>
      <c r="V49" s="946">
        <f t="shared" si="16"/>
        <v>5.863480573185971E-7</v>
      </c>
      <c r="W49" s="946">
        <f t="shared" si="17"/>
        <v>6.5034818958024764E-16</v>
      </c>
      <c r="X49" s="946">
        <f t="shared" si="18"/>
        <v>5.863480573185971E-7</v>
      </c>
      <c r="Y49" s="946">
        <f t="shared" si="19"/>
        <v>8.129352369753095E-16</v>
      </c>
      <c r="Z49" s="947">
        <f t="shared" si="20"/>
        <v>5.8634805727419997E-7</v>
      </c>
    </row>
    <row r="50" spans="3:26" ht="18" thickTop="1" x14ac:dyDescent="0.25">
      <c r="C50" s="1435">
        <v>906</v>
      </c>
      <c r="D50" s="1269" t="s">
        <v>75</v>
      </c>
      <c r="E50" s="1254">
        <f>C50*1000</f>
        <v>906000</v>
      </c>
      <c r="F50" s="1435">
        <v>897</v>
      </c>
      <c r="G50" s="1269" t="s">
        <v>30</v>
      </c>
      <c r="H50" s="1254">
        <f>F50</f>
        <v>897</v>
      </c>
      <c r="I50" s="1435">
        <f t="shared" si="9"/>
        <v>99.006622516556305</v>
      </c>
      <c r="J50" s="1446">
        <f t="shared" si="10"/>
        <v>9.9006622516556302</v>
      </c>
      <c r="K50" s="1446">
        <f t="shared" si="11"/>
        <v>9.9006622516556297E-3</v>
      </c>
      <c r="L50" s="1446">
        <f t="shared" si="12"/>
        <v>0.99006622516556297</v>
      </c>
      <c r="M50" s="1446">
        <f t="shared" si="13"/>
        <v>9.9006622516556301E-4</v>
      </c>
      <c r="N50" s="1270">
        <f t="shared" si="14"/>
        <v>990.06622516556297</v>
      </c>
      <c r="O50" s="1447">
        <v>99.006600000000006</v>
      </c>
      <c r="P50" s="1448">
        <v>9.9006600000000002</v>
      </c>
      <c r="Q50" s="1475">
        <v>9.9006600000000004E-3</v>
      </c>
      <c r="R50" s="1448">
        <v>0.990066</v>
      </c>
      <c r="S50" s="1475">
        <v>9.9006599999999995E-4</v>
      </c>
      <c r="T50" s="1447">
        <v>990.06600000000003</v>
      </c>
      <c r="U50" s="1277">
        <f t="shared" si="15"/>
        <v>2.2742474924557288E-7</v>
      </c>
      <c r="V50" s="1278">
        <f t="shared" si="16"/>
        <v>2.2742474924557288E-7</v>
      </c>
      <c r="W50" s="1278">
        <f t="shared" si="17"/>
        <v>2.2742474918109456E-7</v>
      </c>
      <c r="X50" s="1278">
        <f t="shared" si="18"/>
        <v>2.2742474922314564E-7</v>
      </c>
      <c r="Y50" s="1278">
        <f t="shared" si="19"/>
        <v>2.2742474931250421E-7</v>
      </c>
      <c r="Z50" s="1279">
        <f t="shared" si="20"/>
        <v>2.2742474918815913E-7</v>
      </c>
    </row>
    <row r="51" spans="3:26" x14ac:dyDescent="0.25">
      <c r="C51" s="1435">
        <v>2346</v>
      </c>
      <c r="D51" s="1269" t="s">
        <v>73</v>
      </c>
      <c r="E51" s="1254">
        <f>C51*1000</f>
        <v>2346000</v>
      </c>
      <c r="F51" s="1435">
        <v>344</v>
      </c>
      <c r="G51" s="1269" t="s">
        <v>30</v>
      </c>
      <c r="H51" s="1254">
        <f>F51</f>
        <v>344</v>
      </c>
      <c r="I51" s="1435">
        <f t="shared" si="9"/>
        <v>14.663256606990624</v>
      </c>
      <c r="J51" s="1446">
        <f t="shared" si="10"/>
        <v>1.4663256606990622</v>
      </c>
      <c r="K51" s="1446">
        <f t="shared" si="11"/>
        <v>1.4663256606990624E-3</v>
      </c>
      <c r="L51" s="1446">
        <f t="shared" si="12"/>
        <v>0.14663256606990624</v>
      </c>
      <c r="M51" s="1446">
        <f t="shared" si="13"/>
        <v>1.4663256606990623E-4</v>
      </c>
      <c r="N51" s="1270">
        <f t="shared" si="14"/>
        <v>146.63256606990623</v>
      </c>
      <c r="O51" s="1447">
        <v>14.6633</v>
      </c>
      <c r="P51" s="1448">
        <v>1.4663299999999999</v>
      </c>
      <c r="Q51" s="1448">
        <v>1.4663300000000001E-3</v>
      </c>
      <c r="R51" s="1448">
        <v>0.14663300000000001</v>
      </c>
      <c r="S51" s="1448">
        <v>1.4663299999999999E-4</v>
      </c>
      <c r="T51" s="1447">
        <v>146.63300000000001</v>
      </c>
      <c r="U51" s="1277">
        <f t="shared" si="15"/>
        <v>-2.959302325464302E-6</v>
      </c>
      <c r="V51" s="1278">
        <f t="shared" si="16"/>
        <v>-2.9593023255248742E-6</v>
      </c>
      <c r="W51" s="1278">
        <f t="shared" si="17"/>
        <v>-2.9593023255154094E-6</v>
      </c>
      <c r="X51" s="1278">
        <f t="shared" si="18"/>
        <v>-2.959302325562731E-6</v>
      </c>
      <c r="Y51" s="1278">
        <f t="shared" si="19"/>
        <v>-2.9593023254784394E-6</v>
      </c>
      <c r="Z51" s="1279">
        <f t="shared" si="20"/>
        <v>-2.9593023255854455E-6</v>
      </c>
    </row>
    <row r="52" spans="3:26" ht="17.25" x14ac:dyDescent="0.25">
      <c r="C52" s="1435">
        <v>7865</v>
      </c>
      <c r="D52" s="1269" t="s">
        <v>76</v>
      </c>
      <c r="E52" s="1254">
        <f>C52</f>
        <v>7865</v>
      </c>
      <c r="F52" s="1435">
        <v>564</v>
      </c>
      <c r="G52" s="1269" t="s">
        <v>30</v>
      </c>
      <c r="H52" s="1254">
        <f>F52</f>
        <v>564</v>
      </c>
      <c r="I52" s="1435">
        <f t="shared" si="9"/>
        <v>7171.0108073744432</v>
      </c>
      <c r="J52" s="1446">
        <f t="shared" si="10"/>
        <v>717.10108073744436</v>
      </c>
      <c r="K52" s="1446">
        <f t="shared" si="11"/>
        <v>0.71710108073744439</v>
      </c>
      <c r="L52" s="1446">
        <f t="shared" si="12"/>
        <v>71.710108073744436</v>
      </c>
      <c r="M52" s="1446">
        <f t="shared" si="13"/>
        <v>7.1710108073744436E-2</v>
      </c>
      <c r="N52" s="1270">
        <f t="shared" si="14"/>
        <v>71710.108073744443</v>
      </c>
      <c r="O52" s="1447">
        <v>7171.01</v>
      </c>
      <c r="P52" s="1448">
        <v>717.101</v>
      </c>
      <c r="Q52" s="1448">
        <v>0.71710099999999999</v>
      </c>
      <c r="R52" s="1448">
        <v>71.710099999999997</v>
      </c>
      <c r="S52" s="1448">
        <v>7.1710099999999999E-2</v>
      </c>
      <c r="T52" s="1447">
        <v>71710.100000000006</v>
      </c>
      <c r="U52" s="1277">
        <f t="shared" si="15"/>
        <v>1.1258865237329786E-7</v>
      </c>
      <c r="V52" s="1278">
        <f t="shared" si="16"/>
        <v>1.1258865246841987E-7</v>
      </c>
      <c r="W52" s="1278">
        <f t="shared" si="17"/>
        <v>1.1258865251424688E-7</v>
      </c>
      <c r="X52" s="1278">
        <f t="shared" si="18"/>
        <v>1.1258865250805404E-7</v>
      </c>
      <c r="Y52" s="1278">
        <f t="shared" si="19"/>
        <v>1.1258865247554163E-7</v>
      </c>
      <c r="Z52" s="1279">
        <f t="shared" si="20"/>
        <v>1.1258865247476133E-7</v>
      </c>
    </row>
    <row r="53" spans="3:26" ht="15.75" thickBot="1" x14ac:dyDescent="0.3">
      <c r="C53" s="1465">
        <v>897</v>
      </c>
      <c r="D53" s="1287" t="s">
        <v>74</v>
      </c>
      <c r="E53" s="1309">
        <f>C53*(0.45359237/0.3048^3)</f>
        <v>14368.561646442244</v>
      </c>
      <c r="F53" s="1465">
        <v>976</v>
      </c>
      <c r="G53" s="1287" t="s">
        <v>30</v>
      </c>
      <c r="H53" s="1309">
        <f>F53</f>
        <v>976</v>
      </c>
      <c r="I53" s="1465">
        <f t="shared" si="9"/>
        <v>6792.6075275715884</v>
      </c>
      <c r="J53" s="1466">
        <f t="shared" si="10"/>
        <v>679.2607527571588</v>
      </c>
      <c r="K53" s="1466">
        <f t="shared" si="11"/>
        <v>0.6792607527571588</v>
      </c>
      <c r="L53" s="1466">
        <f t="shared" si="12"/>
        <v>67.926075275715888</v>
      </c>
      <c r="M53" s="1466">
        <f t="shared" si="13"/>
        <v>6.7926075275715883E-2</v>
      </c>
      <c r="N53" s="1289">
        <f t="shared" si="14"/>
        <v>67926.075275715877</v>
      </c>
      <c r="O53" s="1476">
        <v>6792.61</v>
      </c>
      <c r="P53" s="1468">
        <v>679.26099999999997</v>
      </c>
      <c r="Q53" s="1468">
        <v>0.679261</v>
      </c>
      <c r="R53" s="1468">
        <v>67.926100000000005</v>
      </c>
      <c r="S53" s="1468">
        <v>6.7926100000000003E-2</v>
      </c>
      <c r="T53" s="1476">
        <v>67926.100000000006</v>
      </c>
      <c r="U53" s="1329">
        <f t="shared" si="15"/>
        <v>-3.6398811519763794E-7</v>
      </c>
      <c r="V53" s="1330">
        <f t="shared" si="16"/>
        <v>-3.6398811526458536E-7</v>
      </c>
      <c r="W53" s="1330">
        <f t="shared" si="17"/>
        <v>-3.6398811531035018E-7</v>
      </c>
      <c r="X53" s="1330">
        <f t="shared" si="18"/>
        <v>-3.6398811526458531E-7</v>
      </c>
      <c r="Y53" s="1330">
        <f t="shared" si="19"/>
        <v>-3.6398811531035018E-7</v>
      </c>
      <c r="Z53" s="1331">
        <f t="shared" si="20"/>
        <v>-3.6398811543864862E-7</v>
      </c>
    </row>
    <row r="54" spans="3:26" ht="18" thickTop="1" x14ac:dyDescent="0.25">
      <c r="C54" s="311">
        <v>9032</v>
      </c>
      <c r="D54" s="146" t="s">
        <v>75</v>
      </c>
      <c r="E54" s="147">
        <f>C54*1000</f>
        <v>9032000</v>
      </c>
      <c r="F54" s="311">
        <v>2311</v>
      </c>
      <c r="G54" s="146" t="s">
        <v>33</v>
      </c>
      <c r="H54" s="147">
        <f>F54*0.45359237</f>
        <v>1048.2519670700001</v>
      </c>
      <c r="I54" s="311">
        <f t="shared" si="9"/>
        <v>11.60597837765722</v>
      </c>
      <c r="J54" s="116">
        <f t="shared" si="10"/>
        <v>1.160597837765722</v>
      </c>
      <c r="K54" s="116">
        <f t="shared" si="11"/>
        <v>1.160597837765722E-3</v>
      </c>
      <c r="L54" s="116">
        <f t="shared" si="12"/>
        <v>0.11605978377657221</v>
      </c>
      <c r="M54" s="116">
        <f t="shared" si="13"/>
        <v>1.160597837765722E-4</v>
      </c>
      <c r="N54" s="115">
        <f t="shared" si="14"/>
        <v>116.0597837765722</v>
      </c>
      <c r="O54" s="676">
        <v>11.606</v>
      </c>
      <c r="P54" s="652">
        <v>1.1606000000000001</v>
      </c>
      <c r="Q54" s="652">
        <v>1.1605999999999999E-3</v>
      </c>
      <c r="R54" s="652">
        <v>0.11606</v>
      </c>
      <c r="S54" s="652">
        <v>1.1606E-4</v>
      </c>
      <c r="T54" s="676">
        <v>116.06</v>
      </c>
      <c r="U54" s="200">
        <f t="shared" si="15"/>
        <v>-1.8630349012085813E-6</v>
      </c>
      <c r="V54" s="201">
        <f t="shared" si="16"/>
        <v>-1.8630349012468452E-6</v>
      </c>
      <c r="W54" s="201">
        <f t="shared" si="17"/>
        <v>-1.8630349011093344E-6</v>
      </c>
      <c r="X54" s="201">
        <f t="shared" si="18"/>
        <v>-1.8630349010794407E-6</v>
      </c>
      <c r="Y54" s="201">
        <f t="shared" si="19"/>
        <v>-1.8630349011326888E-6</v>
      </c>
      <c r="Z54" s="202">
        <f t="shared" si="20"/>
        <v>-1.8630349011779702E-6</v>
      </c>
    </row>
    <row r="55" spans="3:26" x14ac:dyDescent="0.25">
      <c r="C55" s="310">
        <v>4326</v>
      </c>
      <c r="D55" s="62" t="s">
        <v>73</v>
      </c>
      <c r="E55" s="34">
        <f>C55*1000</f>
        <v>4326000</v>
      </c>
      <c r="F55" s="310">
        <v>1235</v>
      </c>
      <c r="G55" s="62" t="s">
        <v>33</v>
      </c>
      <c r="H55" s="34">
        <f>F55*0.45359237</f>
        <v>560.18657695000002</v>
      </c>
      <c r="I55" s="310">
        <f t="shared" si="9"/>
        <v>12.9492967394822</v>
      </c>
      <c r="J55" s="117">
        <f t="shared" si="10"/>
        <v>1.2949296739482201</v>
      </c>
      <c r="K55" s="117">
        <f t="shared" si="11"/>
        <v>1.2949296739482199E-3</v>
      </c>
      <c r="L55" s="117">
        <f t="shared" si="12"/>
        <v>0.129492967394822</v>
      </c>
      <c r="M55" s="117">
        <f t="shared" si="13"/>
        <v>1.29492967394822E-4</v>
      </c>
      <c r="N55" s="35">
        <f t="shared" si="14"/>
        <v>129.49296739482202</v>
      </c>
      <c r="O55" s="629">
        <v>12.949299999999999</v>
      </c>
      <c r="P55" s="630">
        <v>1.2949299999999999</v>
      </c>
      <c r="Q55" s="630">
        <v>1.2949299999999999E-3</v>
      </c>
      <c r="R55" s="630">
        <v>0.129493</v>
      </c>
      <c r="S55" s="630">
        <v>1.29493E-4</v>
      </c>
      <c r="T55" s="629">
        <v>129.49299999999999</v>
      </c>
      <c r="U55" s="155">
        <f t="shared" si="15"/>
        <v>-2.5179110993132189E-7</v>
      </c>
      <c r="V55" s="156">
        <f t="shared" si="16"/>
        <v>-2.5179110986273292E-7</v>
      </c>
      <c r="W55" s="156">
        <f t="shared" si="17"/>
        <v>-2.5179111000071464E-7</v>
      </c>
      <c r="X55" s="156">
        <f t="shared" si="18"/>
        <v>-2.5179111003420532E-7</v>
      </c>
      <c r="Y55" s="156">
        <f t="shared" si="19"/>
        <v>-2.5179111000071459E-7</v>
      </c>
      <c r="Z55" s="157">
        <f t="shared" si="20"/>
        <v>-2.5179110984901517E-7</v>
      </c>
    </row>
    <row r="56" spans="3:26" ht="17.25" x14ac:dyDescent="0.25">
      <c r="C56" s="310">
        <v>7899</v>
      </c>
      <c r="D56" s="62" t="s">
        <v>76</v>
      </c>
      <c r="E56" s="34">
        <f>C56</f>
        <v>7899</v>
      </c>
      <c r="F56" s="310">
        <v>1732</v>
      </c>
      <c r="G56" s="62" t="s">
        <v>33</v>
      </c>
      <c r="H56" s="34">
        <f>F56*0.45359237</f>
        <v>785.6219848400001</v>
      </c>
      <c r="I56" s="310">
        <f t="shared" si="9"/>
        <v>9945.8410538042808</v>
      </c>
      <c r="J56" s="117">
        <f t="shared" si="10"/>
        <v>994.58410538042801</v>
      </c>
      <c r="K56" s="117">
        <f t="shared" si="11"/>
        <v>0.99458410538042807</v>
      </c>
      <c r="L56" s="117">
        <f t="shared" si="12"/>
        <v>99.458410538042799</v>
      </c>
      <c r="M56" s="117">
        <f t="shared" si="13"/>
        <v>9.9458410538042802E-2</v>
      </c>
      <c r="N56" s="35">
        <f t="shared" si="14"/>
        <v>99458.410538042808</v>
      </c>
      <c r="O56" s="629">
        <v>9945.84</v>
      </c>
      <c r="P56" s="630">
        <v>994.58399999999995</v>
      </c>
      <c r="Q56" s="630">
        <v>0.99458400000000002</v>
      </c>
      <c r="R56" s="630">
        <v>99.458399999999997</v>
      </c>
      <c r="S56" s="630">
        <v>9.9458400000000002E-2</v>
      </c>
      <c r="T56" s="629">
        <v>99458.4</v>
      </c>
      <c r="U56" s="155">
        <f t="shared" si="15"/>
        <v>1.0595426520212095E-7</v>
      </c>
      <c r="V56" s="156">
        <f t="shared" si="16"/>
        <v>1.0595426520212095E-7</v>
      </c>
      <c r="W56" s="156">
        <f t="shared" si="17"/>
        <v>1.0595426518515367E-7</v>
      </c>
      <c r="X56" s="156">
        <f t="shared" si="18"/>
        <v>1.05954265144968E-7</v>
      </c>
      <c r="Y56" s="156">
        <f t="shared" si="19"/>
        <v>1.0595426512934024E-7</v>
      </c>
      <c r="Z56" s="157">
        <f t="shared" si="20"/>
        <v>1.0595426527527673E-7</v>
      </c>
    </row>
    <row r="57" spans="3:26" ht="15.75" thickBot="1" x14ac:dyDescent="0.3">
      <c r="C57" s="312">
        <v>1255</v>
      </c>
      <c r="D57" s="63" t="s">
        <v>74</v>
      </c>
      <c r="E57" s="39">
        <f>C57*(0.45359237/0.3048^3)</f>
        <v>20103.171534319972</v>
      </c>
      <c r="F57" s="312">
        <v>78</v>
      </c>
      <c r="G57" s="63" t="s">
        <v>33</v>
      </c>
      <c r="H57" s="39">
        <f>F57*0.45359237</f>
        <v>35.380204859999999</v>
      </c>
      <c r="I57" s="312">
        <f t="shared" si="9"/>
        <v>175.99315013354584</v>
      </c>
      <c r="J57" s="118">
        <f t="shared" si="10"/>
        <v>17.599315013354584</v>
      </c>
      <c r="K57" s="118">
        <f t="shared" si="11"/>
        <v>1.7599315013354582E-2</v>
      </c>
      <c r="L57" s="118">
        <f t="shared" si="12"/>
        <v>1.7599315013354584</v>
      </c>
      <c r="M57" s="118">
        <f t="shared" si="13"/>
        <v>1.7599315013354583E-3</v>
      </c>
      <c r="N57" s="40">
        <f t="shared" si="14"/>
        <v>1759.9315013354583</v>
      </c>
      <c r="O57" s="677">
        <v>175.99299999999999</v>
      </c>
      <c r="P57" s="655">
        <v>17.599299999999999</v>
      </c>
      <c r="Q57" s="655">
        <v>1.7599299999999998E-2</v>
      </c>
      <c r="R57" s="655">
        <v>1.75993</v>
      </c>
      <c r="S57" s="655">
        <v>1.75993E-3</v>
      </c>
      <c r="T57" s="677">
        <v>1759.93</v>
      </c>
      <c r="U57" s="176">
        <f t="shared" si="15"/>
        <v>8.5306471149776106E-7</v>
      </c>
      <c r="V57" s="177">
        <f t="shared" si="16"/>
        <v>8.5306471149776106E-7</v>
      </c>
      <c r="W57" s="177">
        <f t="shared" si="17"/>
        <v>8.5306471146464239E-7</v>
      </c>
      <c r="X57" s="177">
        <f t="shared" si="18"/>
        <v>8.5306471147252774E-7</v>
      </c>
      <c r="Y57" s="177">
        <f t="shared" si="19"/>
        <v>8.5306471141535852E-7</v>
      </c>
      <c r="Z57" s="178">
        <f t="shared" si="20"/>
        <v>8.5306471136856641E-7</v>
      </c>
    </row>
    <row r="58" spans="3:26" ht="18" thickTop="1" x14ac:dyDescent="0.25">
      <c r="C58" s="412">
        <v>9032</v>
      </c>
      <c r="D58" s="214" t="s">
        <v>75</v>
      </c>
      <c r="E58" s="215">
        <f>C58*1000</f>
        <v>9032000</v>
      </c>
      <c r="F58" s="412">
        <v>6554</v>
      </c>
      <c r="G58" s="214" t="s">
        <v>34</v>
      </c>
      <c r="H58" s="215">
        <f>F58*1000</f>
        <v>6554000</v>
      </c>
      <c r="I58" s="412">
        <f t="shared" si="9"/>
        <v>72564.216120460595</v>
      </c>
      <c r="J58" s="274">
        <f t="shared" si="10"/>
        <v>7256.4216120460587</v>
      </c>
      <c r="K58" s="274">
        <f t="shared" si="11"/>
        <v>7.2564216120460587</v>
      </c>
      <c r="L58" s="274">
        <f t="shared" si="12"/>
        <v>725.64216120460594</v>
      </c>
      <c r="M58" s="274">
        <f t="shared" si="13"/>
        <v>0.7256421612046059</v>
      </c>
      <c r="N58" s="216">
        <f t="shared" si="14"/>
        <v>725642.16120460595</v>
      </c>
      <c r="O58" s="631">
        <v>72564.2</v>
      </c>
      <c r="P58" s="632">
        <v>7256.42</v>
      </c>
      <c r="Q58" s="632">
        <v>7.2564200000000003</v>
      </c>
      <c r="R58" s="632">
        <v>725.64200000000005</v>
      </c>
      <c r="S58" s="632">
        <v>0.72564200000000001</v>
      </c>
      <c r="T58" s="631">
        <v>725642</v>
      </c>
      <c r="U58" s="221">
        <f t="shared" si="15"/>
        <v>2.2215440969813731E-7</v>
      </c>
      <c r="V58" s="222">
        <f t="shared" si="16"/>
        <v>2.2215440954773348E-7</v>
      </c>
      <c r="W58" s="222">
        <f t="shared" si="17"/>
        <v>2.2215440951542018E-7</v>
      </c>
      <c r="X58" s="222">
        <f t="shared" si="18"/>
        <v>2.2215440957906761E-7</v>
      </c>
      <c r="Y58" s="222">
        <f t="shared" si="19"/>
        <v>2.2215440957661963E-7</v>
      </c>
      <c r="Z58" s="223">
        <f t="shared" si="20"/>
        <v>2.2215440965802961E-7</v>
      </c>
    </row>
    <row r="59" spans="3:26" x14ac:dyDescent="0.25">
      <c r="C59" s="412">
        <v>566</v>
      </c>
      <c r="D59" s="214" t="s">
        <v>73</v>
      </c>
      <c r="E59" s="215">
        <f>C59*1000</f>
        <v>566000</v>
      </c>
      <c r="F59" s="412">
        <v>342</v>
      </c>
      <c r="G59" s="214" t="s">
        <v>34</v>
      </c>
      <c r="H59" s="215">
        <f>F59*1000</f>
        <v>342000</v>
      </c>
      <c r="I59" s="412">
        <f t="shared" si="9"/>
        <v>60424.028268551236</v>
      </c>
      <c r="J59" s="274">
        <f t="shared" si="10"/>
        <v>6042.4028268551237</v>
      </c>
      <c r="K59" s="274">
        <f t="shared" si="11"/>
        <v>6.0424028268551231</v>
      </c>
      <c r="L59" s="274">
        <f t="shared" si="12"/>
        <v>604.24028268551228</v>
      </c>
      <c r="M59" s="274">
        <f t="shared" si="13"/>
        <v>0.60424028268551233</v>
      </c>
      <c r="N59" s="216">
        <f t="shared" si="14"/>
        <v>604240.28268551233</v>
      </c>
      <c r="O59" s="631">
        <v>60424</v>
      </c>
      <c r="P59" s="632">
        <v>6042.4</v>
      </c>
      <c r="Q59" s="632">
        <v>6.0423999999999998</v>
      </c>
      <c r="R59" s="632">
        <v>604.24</v>
      </c>
      <c r="S59" s="632">
        <v>0.60424</v>
      </c>
      <c r="T59" s="631">
        <v>604240</v>
      </c>
      <c r="U59" s="221">
        <f t="shared" si="15"/>
        <v>4.6783625729207074E-7</v>
      </c>
      <c r="V59" s="222">
        <f t="shared" si="16"/>
        <v>4.6783625738238197E-7</v>
      </c>
      <c r="W59" s="222">
        <f t="shared" si="17"/>
        <v>4.6783625725067814E-7</v>
      </c>
      <c r="X59" s="222">
        <f t="shared" si="18"/>
        <v>4.6783625715660396E-7</v>
      </c>
      <c r="Y59" s="222">
        <f t="shared" si="19"/>
        <v>4.6783625725067814E-7</v>
      </c>
      <c r="Z59" s="223">
        <f t="shared" si="20"/>
        <v>4.6783625724390479E-7</v>
      </c>
    </row>
    <row r="60" spans="3:26" ht="17.25" x14ac:dyDescent="0.25">
      <c r="C60" s="412">
        <v>560</v>
      </c>
      <c r="D60" s="214" t="s">
        <v>76</v>
      </c>
      <c r="E60" s="215">
        <f>C60</f>
        <v>560</v>
      </c>
      <c r="F60" s="412">
        <v>78</v>
      </c>
      <c r="G60" s="214" t="s">
        <v>34</v>
      </c>
      <c r="H60" s="215">
        <f>F60*1000</f>
        <v>78000</v>
      </c>
      <c r="I60" s="412">
        <f t="shared" si="9"/>
        <v>13928571.428571427</v>
      </c>
      <c r="J60" s="274">
        <f t="shared" si="10"/>
        <v>1392857.1428571427</v>
      </c>
      <c r="K60" s="274">
        <f t="shared" si="11"/>
        <v>1392.8571428571427</v>
      </c>
      <c r="L60" s="274">
        <f t="shared" si="12"/>
        <v>139285.71428571429</v>
      </c>
      <c r="M60" s="274">
        <f t="shared" si="13"/>
        <v>139.28571428571428</v>
      </c>
      <c r="N60" s="216">
        <f t="shared" si="14"/>
        <v>139285714.28571427</v>
      </c>
      <c r="O60" s="631">
        <v>13928571</v>
      </c>
      <c r="P60" s="632">
        <v>1392857</v>
      </c>
      <c r="Q60" s="632">
        <v>1392.86</v>
      </c>
      <c r="R60" s="632">
        <v>139286</v>
      </c>
      <c r="S60" s="632">
        <v>139.286</v>
      </c>
      <c r="T60" s="631">
        <v>139285714</v>
      </c>
      <c r="U60" s="221">
        <f t="shared" si="15"/>
        <v>3.0769230673710508E-8</v>
      </c>
      <c r="V60" s="222">
        <f t="shared" si="16"/>
        <v>1.0256410246858231E-7</v>
      </c>
      <c r="W60" s="222">
        <f t="shared" si="17"/>
        <v>-2.0512820513501469E-6</v>
      </c>
      <c r="X60" s="222">
        <f t="shared" si="18"/>
        <v>-2.0512820512522011E-6</v>
      </c>
      <c r="Y60" s="222">
        <f t="shared" si="19"/>
        <v>-2.0512820513501469E-6</v>
      </c>
      <c r="Z60" s="223">
        <f t="shared" si="20"/>
        <v>2.0512819290161134E-9</v>
      </c>
    </row>
    <row r="61" spans="3:26" ht="15.75" thickBot="1" x14ac:dyDescent="0.3">
      <c r="C61" s="416">
        <v>2355</v>
      </c>
      <c r="D61" s="440" t="s">
        <v>74</v>
      </c>
      <c r="E61" s="418">
        <f>C61*(0.45359237/0.3048^3)</f>
        <v>37723.481245676128</v>
      </c>
      <c r="F61" s="416">
        <v>120</v>
      </c>
      <c r="G61" s="440" t="s">
        <v>34</v>
      </c>
      <c r="H61" s="418">
        <f>F61*1000</f>
        <v>120000</v>
      </c>
      <c r="I61" s="416">
        <f t="shared" si="9"/>
        <v>318104.25771283876</v>
      </c>
      <c r="J61" s="417">
        <f t="shared" si="10"/>
        <v>31810.425771283881</v>
      </c>
      <c r="K61" s="417">
        <f t="shared" si="11"/>
        <v>31.810425771283878</v>
      </c>
      <c r="L61" s="417">
        <f t="shared" si="12"/>
        <v>3181.0425771283881</v>
      </c>
      <c r="M61" s="417">
        <f t="shared" si="13"/>
        <v>3.1810425771283879</v>
      </c>
      <c r="N61" s="419">
        <f t="shared" si="14"/>
        <v>3181042.577128388</v>
      </c>
      <c r="O61" s="671">
        <v>318104</v>
      </c>
      <c r="P61" s="672">
        <v>31810.400000000001</v>
      </c>
      <c r="Q61" s="672">
        <v>31.810400000000001</v>
      </c>
      <c r="R61" s="672">
        <v>3181.04</v>
      </c>
      <c r="S61" s="672">
        <v>3.1810399999999999</v>
      </c>
      <c r="T61" s="671">
        <v>3181043</v>
      </c>
      <c r="U61" s="673">
        <f t="shared" si="15"/>
        <v>8.1015211998979606E-7</v>
      </c>
      <c r="V61" s="674">
        <f t="shared" si="16"/>
        <v>8.1015212008128747E-7</v>
      </c>
      <c r="W61" s="674">
        <f t="shared" si="17"/>
        <v>8.1015211999998163E-7</v>
      </c>
      <c r="X61" s="674">
        <f t="shared" si="18"/>
        <v>8.1015212013846961E-7</v>
      </c>
      <c r="Y61" s="674">
        <f t="shared" si="19"/>
        <v>8.1015212011166557E-7</v>
      </c>
      <c r="Z61" s="681">
        <f t="shared" si="20"/>
        <v>-1.3293491104231738E-7</v>
      </c>
    </row>
    <row r="62" spans="3:26" ht="18" thickTop="1" x14ac:dyDescent="0.25">
      <c r="C62" s="1696">
        <v>7788</v>
      </c>
      <c r="D62" s="1697" t="s">
        <v>75</v>
      </c>
      <c r="E62" s="1698">
        <f>C62*1000</f>
        <v>7788000</v>
      </c>
      <c r="F62" s="1696">
        <v>342</v>
      </c>
      <c r="G62" s="1697" t="s">
        <v>35</v>
      </c>
      <c r="H62" s="1698">
        <f>F62*31.1034768/1000</f>
        <v>10.637389065600001</v>
      </c>
      <c r="I62" s="1696">
        <f t="shared" si="9"/>
        <v>0.1365869166101695</v>
      </c>
      <c r="J62" s="1699">
        <f t="shared" si="10"/>
        <v>1.365869166101695E-2</v>
      </c>
      <c r="K62" s="1699">
        <f t="shared" si="11"/>
        <v>1.365869166101695E-5</v>
      </c>
      <c r="L62" s="1699">
        <f t="shared" si="12"/>
        <v>1.3658691661016951E-3</v>
      </c>
      <c r="M62" s="1699">
        <f t="shared" si="13"/>
        <v>1.3658691661016951E-6</v>
      </c>
      <c r="N62" s="1700">
        <f t="shared" si="14"/>
        <v>1.3658691661016951</v>
      </c>
      <c r="O62" s="1701">
        <v>0.13658699999999999</v>
      </c>
      <c r="P62" s="1702">
        <v>1.3658699999999999E-2</v>
      </c>
      <c r="Q62" s="1703">
        <v>1.3658691661016999E-5</v>
      </c>
      <c r="R62" s="1703">
        <v>1.3658699999999999E-3</v>
      </c>
      <c r="S62" s="1703">
        <v>1.3658691661016999E-6</v>
      </c>
      <c r="T62" s="1701">
        <v>1.3658699999999999</v>
      </c>
      <c r="U62" s="125">
        <f t="shared" si="15"/>
        <v>-6.1052575572287418E-7</v>
      </c>
      <c r="V62" s="756">
        <f t="shared" si="16"/>
        <v>-6.1052575577367614E-7</v>
      </c>
      <c r="W62" s="756">
        <f t="shared" si="17"/>
        <v>-3.596824070709832E-15</v>
      </c>
      <c r="X62" s="756">
        <f t="shared" si="18"/>
        <v>-6.1052575567842231E-7</v>
      </c>
      <c r="Y62" s="756">
        <f t="shared" si="19"/>
        <v>-3.5658169666519881E-15</v>
      </c>
      <c r="Z62" s="755">
        <f t="shared" si="20"/>
        <v>-6.1052575572287407E-7</v>
      </c>
    </row>
    <row r="63" spans="3:26" x14ac:dyDescent="0.25">
      <c r="C63" s="1683">
        <v>3498</v>
      </c>
      <c r="D63" s="64" t="s">
        <v>73</v>
      </c>
      <c r="E63" s="1253">
        <f>C63*1000</f>
        <v>3498000</v>
      </c>
      <c r="F63" s="1683">
        <v>750</v>
      </c>
      <c r="G63" s="64" t="s">
        <v>35</v>
      </c>
      <c r="H63" s="1253">
        <f>F63*31.1034768/1000</f>
        <v>23.3276076</v>
      </c>
      <c r="I63" s="1683">
        <f t="shared" si="9"/>
        <v>0.66688415094339626</v>
      </c>
      <c r="J63" s="131">
        <f t="shared" si="10"/>
        <v>6.668841509433962E-2</v>
      </c>
      <c r="K63" s="131">
        <f t="shared" si="11"/>
        <v>6.668841509433962E-5</v>
      </c>
      <c r="L63" s="131">
        <f t="shared" si="12"/>
        <v>6.668841509433962E-3</v>
      </c>
      <c r="M63" s="131">
        <f t="shared" si="13"/>
        <v>6.6688415094339622E-6</v>
      </c>
      <c r="N63" s="56">
        <f t="shared" si="14"/>
        <v>6.6688415094339621</v>
      </c>
      <c r="O63" s="1684">
        <v>0.66688400000000003</v>
      </c>
      <c r="P63" s="1685">
        <v>6.6688399999999995E-2</v>
      </c>
      <c r="Q63" s="1704">
        <v>6.6688415094339593E-5</v>
      </c>
      <c r="R63" s="1685">
        <v>6.6688399999999997E-3</v>
      </c>
      <c r="S63" s="1704">
        <v>6.6688415094339597E-6</v>
      </c>
      <c r="T63" s="1684">
        <v>6.6688400000000003</v>
      </c>
      <c r="U63" s="136">
        <f t="shared" si="15"/>
        <v>2.2634125584336733E-7</v>
      </c>
      <c r="V63" s="139">
        <f t="shared" si="16"/>
        <v>2.2634125588498714E-7</v>
      </c>
      <c r="W63" s="139">
        <f t="shared" si="17"/>
        <v>4.0644322216675731E-16</v>
      </c>
      <c r="X63" s="139">
        <f t="shared" si="18"/>
        <v>2.2634125585897476E-7</v>
      </c>
      <c r="Y63" s="139">
        <f t="shared" si="19"/>
        <v>3.81040520781335E-16</v>
      </c>
      <c r="Z63" s="137">
        <f t="shared" si="20"/>
        <v>2.2634125577677569E-7</v>
      </c>
    </row>
    <row r="64" spans="3:26" ht="17.25" x14ac:dyDescent="0.25">
      <c r="C64" s="1683">
        <v>12765</v>
      </c>
      <c r="D64" s="64" t="s">
        <v>76</v>
      </c>
      <c r="E64" s="1253">
        <f>C64</f>
        <v>12765</v>
      </c>
      <c r="F64" s="1683">
        <v>239</v>
      </c>
      <c r="G64" s="64" t="s">
        <v>35</v>
      </c>
      <c r="H64" s="1253">
        <f>F64*31.1034768/1000</f>
        <v>7.4337309551999997</v>
      </c>
      <c r="I64" s="1683">
        <f t="shared" si="9"/>
        <v>58.235260126909509</v>
      </c>
      <c r="J64" s="131">
        <f t="shared" si="10"/>
        <v>5.8235260126909516</v>
      </c>
      <c r="K64" s="131">
        <f t="shared" si="11"/>
        <v>5.8235260126909515E-3</v>
      </c>
      <c r="L64" s="131">
        <f t="shared" si="12"/>
        <v>0.58235260126909516</v>
      </c>
      <c r="M64" s="131">
        <f t="shared" si="13"/>
        <v>5.8235260126909512E-4</v>
      </c>
      <c r="N64" s="56">
        <f t="shared" si="14"/>
        <v>582.35260126909509</v>
      </c>
      <c r="O64" s="1684">
        <v>58.235300000000002</v>
      </c>
      <c r="P64" s="1685">
        <v>5.8235299999999999</v>
      </c>
      <c r="Q64" s="1685">
        <v>5.8235300000000004E-3</v>
      </c>
      <c r="R64" s="1685">
        <v>0.58235300000000001</v>
      </c>
      <c r="S64" s="1685">
        <v>5.8235299999999997E-4</v>
      </c>
      <c r="T64" s="1684">
        <v>582.35299999999995</v>
      </c>
      <c r="U64" s="136">
        <f t="shared" si="15"/>
        <v>-6.8468983235354292E-7</v>
      </c>
      <c r="V64" s="139">
        <f t="shared" si="16"/>
        <v>-6.8468983217052409E-7</v>
      </c>
      <c r="W64" s="139">
        <f t="shared" si="17"/>
        <v>-6.8468983228014466E-7</v>
      </c>
      <c r="X64" s="139">
        <f t="shared" si="18"/>
        <v>-6.8468983220865296E-7</v>
      </c>
      <c r="Y64" s="139">
        <f t="shared" si="19"/>
        <v>-6.8468983220567426E-7</v>
      </c>
      <c r="Z64" s="137">
        <f t="shared" si="20"/>
        <v>-6.8468983223153037E-7</v>
      </c>
    </row>
    <row r="65" spans="3:26" ht="15.75" thickBot="1" x14ac:dyDescent="0.3">
      <c r="C65" s="1705">
        <v>8977</v>
      </c>
      <c r="D65" s="126" t="s">
        <v>74</v>
      </c>
      <c r="E65" s="1706">
        <f>C65*(0.45359237/0.3048^3)</f>
        <v>143797.74570804017</v>
      </c>
      <c r="F65" s="1705">
        <v>128</v>
      </c>
      <c r="G65" s="126" t="s">
        <v>35</v>
      </c>
      <c r="H65" s="1706">
        <f>F65*31.1034768/1000</f>
        <v>3.9812450303999998</v>
      </c>
      <c r="I65" s="1705">
        <f t="shared" si="9"/>
        <v>2.7686421722377506</v>
      </c>
      <c r="J65" s="133">
        <f t="shared" si="10"/>
        <v>0.27686421722377502</v>
      </c>
      <c r="K65" s="133">
        <f t="shared" si="11"/>
        <v>2.7686421722377503E-4</v>
      </c>
      <c r="L65" s="133">
        <f t="shared" si="12"/>
        <v>2.7686421722377504E-2</v>
      </c>
      <c r="M65" s="133">
        <f t="shared" si="13"/>
        <v>2.7686421722377504E-5</v>
      </c>
      <c r="N65" s="129">
        <f t="shared" si="14"/>
        <v>27.686421722377503</v>
      </c>
      <c r="O65" s="1707">
        <v>2.76864</v>
      </c>
      <c r="P65" s="1708">
        <v>0.276864</v>
      </c>
      <c r="Q65" s="1708">
        <v>2.7686399999999998E-4</v>
      </c>
      <c r="R65" s="1708">
        <v>2.76864E-2</v>
      </c>
      <c r="S65" s="1709">
        <v>2.7686421722377501E-5</v>
      </c>
      <c r="T65" s="1710">
        <v>27.686399999999999</v>
      </c>
      <c r="U65" s="135">
        <f t="shared" si="15"/>
        <v>7.8458595059550729E-7</v>
      </c>
      <c r="V65" s="140">
        <f t="shared" si="16"/>
        <v>7.8458595047520765E-7</v>
      </c>
      <c r="W65" s="140">
        <f t="shared" si="17"/>
        <v>7.8458595055822694E-7</v>
      </c>
      <c r="X65" s="140">
        <f t="shared" si="18"/>
        <v>7.8458595055039485E-7</v>
      </c>
      <c r="Y65" s="140">
        <f t="shared" si="19"/>
        <v>1.2237521421118675E-16</v>
      </c>
      <c r="Z65" s="138">
        <f t="shared" si="20"/>
        <v>7.8458595053134751E-7</v>
      </c>
    </row>
    <row r="66" spans="3:26" ht="15.75" thickTop="1" x14ac:dyDescent="0.25">
      <c r="C66" s="682"/>
    </row>
    <row r="67" spans="3:26" ht="15.75" thickBot="1" x14ac:dyDescent="0.3"/>
    <row r="68" spans="3:26" ht="15.75" thickTop="1" x14ac:dyDescent="0.25">
      <c r="C68" s="2488" t="s">
        <v>0</v>
      </c>
      <c r="D68" s="2489"/>
      <c r="E68" s="2489"/>
      <c r="F68" s="2489"/>
      <c r="G68" s="2489"/>
      <c r="H68" s="2489"/>
      <c r="I68" s="2483" t="s">
        <v>158</v>
      </c>
      <c r="J68" s="2484"/>
      <c r="K68" s="2484"/>
      <c r="L68" s="2484"/>
      <c r="M68" s="2485"/>
      <c r="N68" s="2489" t="s">
        <v>17</v>
      </c>
      <c r="O68" s="2489"/>
      <c r="P68" s="2489"/>
      <c r="Q68" s="2489"/>
      <c r="R68" s="2489"/>
      <c r="S68" s="2483" t="s">
        <v>8</v>
      </c>
      <c r="T68" s="2484"/>
      <c r="U68" s="2484"/>
      <c r="V68" s="2484"/>
      <c r="W68" s="2485"/>
    </row>
    <row r="69" spans="3:26" ht="15.75" thickBot="1" x14ac:dyDescent="0.3">
      <c r="C69" s="2486" t="s">
        <v>71</v>
      </c>
      <c r="D69" s="2487"/>
      <c r="E69" s="2487"/>
      <c r="F69" s="2486" t="s">
        <v>72</v>
      </c>
      <c r="G69" s="2487"/>
      <c r="H69" s="2496"/>
      <c r="I69" s="2480" t="s">
        <v>28</v>
      </c>
      <c r="J69" s="2481"/>
      <c r="K69" s="2481"/>
      <c r="L69" s="2481"/>
      <c r="M69" s="2482"/>
      <c r="N69" s="2487" t="s">
        <v>28</v>
      </c>
      <c r="O69" s="2487"/>
      <c r="P69" s="2487"/>
      <c r="Q69" s="2487"/>
      <c r="R69" s="2487"/>
      <c r="S69" s="2480" t="s">
        <v>28</v>
      </c>
      <c r="T69" s="2481"/>
      <c r="U69" s="2481"/>
      <c r="V69" s="2481"/>
      <c r="W69" s="2482"/>
    </row>
    <row r="70" spans="3:26" ht="18" thickBot="1" x14ac:dyDescent="0.3">
      <c r="C70" s="82" t="s">
        <v>3</v>
      </c>
      <c r="D70" s="66" t="s">
        <v>4</v>
      </c>
      <c r="E70" s="84" t="s">
        <v>68</v>
      </c>
      <c r="F70" s="82" t="s">
        <v>3</v>
      </c>
      <c r="G70" s="66" t="s">
        <v>4</v>
      </c>
      <c r="H70" s="85" t="s">
        <v>76</v>
      </c>
      <c r="I70" s="86" t="s">
        <v>32</v>
      </c>
      <c r="J70" s="87" t="s">
        <v>30</v>
      </c>
      <c r="K70" s="87" t="s">
        <v>33</v>
      </c>
      <c r="L70" s="87" t="s">
        <v>34</v>
      </c>
      <c r="M70" s="88" t="s">
        <v>35</v>
      </c>
      <c r="N70" s="84" t="s">
        <v>32</v>
      </c>
      <c r="O70" s="83" t="s">
        <v>30</v>
      </c>
      <c r="P70" s="83" t="s">
        <v>33</v>
      </c>
      <c r="Q70" s="83" t="s">
        <v>34</v>
      </c>
      <c r="R70" s="84" t="s">
        <v>35</v>
      </c>
      <c r="S70" s="86" t="s">
        <v>32</v>
      </c>
      <c r="T70" s="87" t="s">
        <v>30</v>
      </c>
      <c r="U70" s="87" t="s">
        <v>33</v>
      </c>
      <c r="V70" s="87" t="s">
        <v>34</v>
      </c>
      <c r="W70" s="88" t="s">
        <v>35</v>
      </c>
    </row>
    <row r="71" spans="3:26" ht="18" thickTop="1" x14ac:dyDescent="0.25">
      <c r="C71" s="1081">
        <v>560</v>
      </c>
      <c r="D71" s="58" t="s">
        <v>49</v>
      </c>
      <c r="E71" s="49">
        <f>C71/100000</f>
        <v>5.5999999999999999E-3</v>
      </c>
      <c r="F71" s="1081">
        <v>777</v>
      </c>
      <c r="G71" s="58" t="s">
        <v>75</v>
      </c>
      <c r="H71" s="1031">
        <f t="shared" ref="H71:H76" si="21">F71*1000</f>
        <v>777000</v>
      </c>
      <c r="I71" s="1081">
        <f>J71*1000</f>
        <v>4351200</v>
      </c>
      <c r="J71" s="1082">
        <f>H71*E71</f>
        <v>4351.2</v>
      </c>
      <c r="K71" s="1082">
        <f>J71/0.45359237</f>
        <v>9592.7539521883918</v>
      </c>
      <c r="L71" s="1082">
        <f>J71/1000</f>
        <v>4.3511999999999995</v>
      </c>
      <c r="M71" s="1031">
        <f>J71*1000/31.1034768</f>
        <v>139894.32846941406</v>
      </c>
      <c r="N71" s="1083">
        <v>4351200</v>
      </c>
      <c r="O71" s="1084">
        <v>4351.2</v>
      </c>
      <c r="P71" s="1084">
        <v>9592.75</v>
      </c>
      <c r="Q71" s="1084">
        <v>4.3512000000000004</v>
      </c>
      <c r="R71" s="1083">
        <v>139894</v>
      </c>
      <c r="S71" s="960">
        <f xml:space="preserve"> (I71-N71)/I71</f>
        <v>0</v>
      </c>
      <c r="T71" s="961">
        <f xml:space="preserve"> (J71-O71)/J71</f>
        <v>0</v>
      </c>
      <c r="U71" s="961">
        <f xml:space="preserve"> (K71-P71)/K71</f>
        <v>4.1199726497186137E-7</v>
      </c>
      <c r="V71" s="961">
        <f xml:space="preserve"> (L71-Q71)/L71</f>
        <v>-2.0412263736443403E-16</v>
      </c>
      <c r="W71" s="962">
        <f xml:space="preserve"> (M71-R71)/M71</f>
        <v>2.3479823496350829E-6</v>
      </c>
    </row>
    <row r="72" spans="3:26" ht="17.25" x14ac:dyDescent="0.25">
      <c r="C72" s="1059">
        <v>829</v>
      </c>
      <c r="D72" s="59" t="s">
        <v>50</v>
      </c>
      <c r="E72" s="32">
        <f>C72/10000</f>
        <v>8.2900000000000001E-2</v>
      </c>
      <c r="F72" s="1059">
        <v>238</v>
      </c>
      <c r="G72" s="59" t="s">
        <v>75</v>
      </c>
      <c r="H72" s="889">
        <f t="shared" si="21"/>
        <v>238000</v>
      </c>
      <c r="I72" s="1059">
        <f t="shared" ref="I72:I94" si="22">J72*1000</f>
        <v>19730200</v>
      </c>
      <c r="J72" s="1060">
        <f t="shared" ref="J72:J94" si="23">H72*E72</f>
        <v>19730.2</v>
      </c>
      <c r="K72" s="1060">
        <f t="shared" ref="K72:K94" si="24">J72/0.45359237</f>
        <v>43497.645253600713</v>
      </c>
      <c r="L72" s="1060">
        <f t="shared" ref="L72:L94" si="25">J72/1000</f>
        <v>19.7302</v>
      </c>
      <c r="M72" s="889">
        <f t="shared" ref="M72:M94" si="26">J72*1000/31.1034768</f>
        <v>634340.65994834376</v>
      </c>
      <c r="N72" s="1061">
        <v>19730200</v>
      </c>
      <c r="O72" s="1062">
        <v>19730.2</v>
      </c>
      <c r="P72" s="1062">
        <v>43497.599999999999</v>
      </c>
      <c r="Q72" s="1062">
        <v>19.7302</v>
      </c>
      <c r="R72" s="1061">
        <v>634341</v>
      </c>
      <c r="S72" s="897">
        <f t="shared" ref="S72:S94" si="27" xml:space="preserve"> (I72-N72)/I72</f>
        <v>0</v>
      </c>
      <c r="T72" s="898">
        <f t="shared" ref="T72:T94" si="28" xml:space="preserve"> (J72-O72)/J72</f>
        <v>0</v>
      </c>
      <c r="U72" s="898">
        <f t="shared" ref="U72:U94" si="29" xml:space="preserve"> (K72-P72)/K72</f>
        <v>1.0403689774553554E-6</v>
      </c>
      <c r="V72" s="898">
        <f t="shared" ref="V72:V94" si="30" xml:space="preserve"> (L72-Q72)/L72</f>
        <v>0</v>
      </c>
      <c r="W72" s="899">
        <f t="shared" ref="W72:W94" si="31" xml:space="preserve"> (M72-R72)/M72</f>
        <v>-5.3607103833980539E-7</v>
      </c>
    </row>
    <row r="73" spans="3:26" ht="17.25" x14ac:dyDescent="0.25">
      <c r="C73" s="1059">
        <v>8730</v>
      </c>
      <c r="D73" s="59" t="s">
        <v>51</v>
      </c>
      <c r="E73" s="32">
        <f>C73/10</f>
        <v>873</v>
      </c>
      <c r="F73" s="1059">
        <v>892</v>
      </c>
      <c r="G73" s="59" t="s">
        <v>78</v>
      </c>
      <c r="H73" s="889">
        <f t="shared" si="21"/>
        <v>892000</v>
      </c>
      <c r="I73" s="1059">
        <f t="shared" si="22"/>
        <v>778716000000</v>
      </c>
      <c r="J73" s="1060">
        <f t="shared" si="23"/>
        <v>778716000</v>
      </c>
      <c r="K73" s="1060">
        <f t="shared" si="24"/>
        <v>1716774909.5955913</v>
      </c>
      <c r="L73" s="1060">
        <f t="shared" si="25"/>
        <v>778716</v>
      </c>
      <c r="M73" s="889">
        <f t="shared" si="26"/>
        <v>25036300764.935707</v>
      </c>
      <c r="N73" s="1061">
        <v>778716000000</v>
      </c>
      <c r="O73" s="1062">
        <v>778716000</v>
      </c>
      <c r="P73" s="1062">
        <v>1716774910</v>
      </c>
      <c r="Q73" s="1062">
        <v>778716</v>
      </c>
      <c r="R73" s="1061">
        <v>25036300765</v>
      </c>
      <c r="S73" s="897">
        <f t="shared" si="27"/>
        <v>0</v>
      </c>
      <c r="T73" s="898">
        <f t="shared" si="28"/>
        <v>0</v>
      </c>
      <c r="U73" s="898">
        <f t="shared" si="29"/>
        <v>-2.3556302637767602E-10</v>
      </c>
      <c r="V73" s="898">
        <f t="shared" si="30"/>
        <v>0</v>
      </c>
      <c r="W73" s="899">
        <f t="shared" si="31"/>
        <v>-2.5679875121522909E-12</v>
      </c>
    </row>
    <row r="74" spans="3:26" ht="17.25" x14ac:dyDescent="0.25">
      <c r="C74" s="1059">
        <v>2390</v>
      </c>
      <c r="D74" s="59" t="s">
        <v>52</v>
      </c>
      <c r="E74" s="32">
        <f>C74/1000</f>
        <v>2.39</v>
      </c>
      <c r="F74" s="1059">
        <v>122</v>
      </c>
      <c r="G74" s="59" t="s">
        <v>78</v>
      </c>
      <c r="H74" s="889">
        <f t="shared" si="21"/>
        <v>122000</v>
      </c>
      <c r="I74" s="1059">
        <f t="shared" si="22"/>
        <v>291580000</v>
      </c>
      <c r="J74" s="1060">
        <f t="shared" si="23"/>
        <v>291580</v>
      </c>
      <c r="K74" s="1060">
        <f t="shared" si="24"/>
        <v>642823.86407866597</v>
      </c>
      <c r="L74" s="1060">
        <f t="shared" si="25"/>
        <v>291.58</v>
      </c>
      <c r="M74" s="889">
        <f t="shared" si="26"/>
        <v>9374514.684480546</v>
      </c>
      <c r="N74" s="1061">
        <v>291580000</v>
      </c>
      <c r="O74" s="1062">
        <v>291580</v>
      </c>
      <c r="P74" s="1062">
        <v>642824</v>
      </c>
      <c r="Q74" s="1062">
        <v>291.58</v>
      </c>
      <c r="R74" s="1061">
        <v>9374515</v>
      </c>
      <c r="S74" s="897">
        <f t="shared" si="27"/>
        <v>0</v>
      </c>
      <c r="T74" s="898">
        <f t="shared" si="28"/>
        <v>0</v>
      </c>
      <c r="U74" s="898">
        <f t="shared" si="29"/>
        <v>-2.1144413209940689E-7</v>
      </c>
      <c r="V74" s="898">
        <f t="shared" si="30"/>
        <v>0</v>
      </c>
      <c r="W74" s="899">
        <f t="shared" si="31"/>
        <v>-3.3657150751496237E-8</v>
      </c>
    </row>
    <row r="75" spans="3:26" ht="17.25" x14ac:dyDescent="0.25">
      <c r="C75" s="1059">
        <v>12863</v>
      </c>
      <c r="D75" s="59" t="s">
        <v>68</v>
      </c>
      <c r="E75" s="32">
        <f>C75</f>
        <v>12863</v>
      </c>
      <c r="F75" s="1059">
        <v>121</v>
      </c>
      <c r="G75" s="59" t="s">
        <v>78</v>
      </c>
      <c r="H75" s="889">
        <f t="shared" si="21"/>
        <v>121000</v>
      </c>
      <c r="I75" s="1059">
        <f t="shared" si="22"/>
        <v>1556423000000</v>
      </c>
      <c r="J75" s="1060">
        <f t="shared" si="23"/>
        <v>1556423000</v>
      </c>
      <c r="K75" s="1060">
        <f t="shared" si="24"/>
        <v>3431325354.9657369</v>
      </c>
      <c r="L75" s="1060">
        <f t="shared" si="25"/>
        <v>1556423</v>
      </c>
      <c r="M75" s="889">
        <f t="shared" si="26"/>
        <v>50040161426.583672</v>
      </c>
      <c r="N75" s="1061">
        <v>1556423000000</v>
      </c>
      <c r="O75" s="1062">
        <v>1556423000</v>
      </c>
      <c r="P75" s="1062">
        <v>3431325355</v>
      </c>
      <c r="Q75" s="1062">
        <v>1556423</v>
      </c>
      <c r="R75" s="1061">
        <v>50040161427</v>
      </c>
      <c r="S75" s="897">
        <f t="shared" si="27"/>
        <v>0</v>
      </c>
      <c r="T75" s="898">
        <f t="shared" si="28"/>
        <v>0</v>
      </c>
      <c r="U75" s="898">
        <f t="shared" si="29"/>
        <v>-9.9853935311324264E-12</v>
      </c>
      <c r="V75" s="898">
        <f t="shared" si="30"/>
        <v>0</v>
      </c>
      <c r="W75" s="899">
        <f t="shared" si="31"/>
        <v>-8.3198858338336245E-12</v>
      </c>
    </row>
    <row r="76" spans="3:26" ht="18" thickBot="1" x14ac:dyDescent="0.3">
      <c r="C76" s="1064">
        <v>23098</v>
      </c>
      <c r="D76" s="953" t="s">
        <v>54</v>
      </c>
      <c r="E76" s="1065">
        <f>C76/1000000</f>
        <v>2.3098E-2</v>
      </c>
      <c r="F76" s="1064">
        <v>322</v>
      </c>
      <c r="G76" s="953" t="s">
        <v>78</v>
      </c>
      <c r="H76" s="954">
        <f t="shared" si="21"/>
        <v>322000</v>
      </c>
      <c r="I76" s="1064">
        <f t="shared" si="22"/>
        <v>7437556.0000000009</v>
      </c>
      <c r="J76" s="1066">
        <f t="shared" si="23"/>
        <v>7437.5560000000005</v>
      </c>
      <c r="K76" s="1066">
        <f t="shared" si="24"/>
        <v>16397.004208867093</v>
      </c>
      <c r="L76" s="1066">
        <f t="shared" si="25"/>
        <v>7.4375560000000007</v>
      </c>
      <c r="M76" s="954">
        <f t="shared" si="26"/>
        <v>239122.9780459785</v>
      </c>
      <c r="N76" s="1067">
        <v>7437556</v>
      </c>
      <c r="O76" s="1068">
        <v>7437.56</v>
      </c>
      <c r="P76" s="1068">
        <v>16397</v>
      </c>
      <c r="Q76" s="1068">
        <v>7.4375600000000004</v>
      </c>
      <c r="R76" s="1067">
        <v>239123</v>
      </c>
      <c r="S76" s="911">
        <f t="shared" si="27"/>
        <v>1.2521889914045399E-16</v>
      </c>
      <c r="T76" s="912">
        <f t="shared" si="28"/>
        <v>-5.3781107663665485E-7</v>
      </c>
      <c r="U76" s="912">
        <f t="shared" si="29"/>
        <v>2.5668512607037653E-7</v>
      </c>
      <c r="V76" s="912">
        <f t="shared" si="30"/>
        <v>-5.378110766051285E-7</v>
      </c>
      <c r="W76" s="913">
        <f t="shared" si="31"/>
        <v>-9.1810589192706936E-8</v>
      </c>
    </row>
    <row r="77" spans="3:26" ht="15.75" thickTop="1" x14ac:dyDescent="0.25">
      <c r="C77" s="1431">
        <v>12083</v>
      </c>
      <c r="D77" s="1333" t="s">
        <v>49</v>
      </c>
      <c r="E77" s="1334">
        <f>C77/100000</f>
        <v>0.12083000000000001</v>
      </c>
      <c r="F77" s="1431">
        <v>897</v>
      </c>
      <c r="G77" s="1333" t="s">
        <v>73</v>
      </c>
      <c r="H77" s="1370">
        <f t="shared" ref="H77:H82" si="32">F77*1000</f>
        <v>897000</v>
      </c>
      <c r="I77" s="1431">
        <f t="shared" si="22"/>
        <v>108384510.00000001</v>
      </c>
      <c r="J77" s="1442">
        <f t="shared" si="23"/>
        <v>108384.51000000001</v>
      </c>
      <c r="K77" s="1442">
        <f t="shared" si="24"/>
        <v>238946.94260399486</v>
      </c>
      <c r="L77" s="1442">
        <f t="shared" si="25"/>
        <v>108.38451000000001</v>
      </c>
      <c r="M77" s="1370">
        <f t="shared" si="26"/>
        <v>3484642.9129749257</v>
      </c>
      <c r="N77" s="1443">
        <v>108384510</v>
      </c>
      <c r="O77" s="1444">
        <v>108385</v>
      </c>
      <c r="P77" s="1444">
        <v>238947</v>
      </c>
      <c r="Q77" s="1444">
        <v>108.38500000000001</v>
      </c>
      <c r="R77" s="1443">
        <v>3484643</v>
      </c>
      <c r="S77" s="1265">
        <f t="shared" si="27"/>
        <v>1.3748423269937423E-16</v>
      </c>
      <c r="T77" s="1266">
        <f t="shared" si="28"/>
        <v>-4.5209412303537354E-6</v>
      </c>
      <c r="U77" s="1266">
        <f t="shared" si="29"/>
        <v>-2.4020397379906844E-7</v>
      </c>
      <c r="V77" s="1266">
        <f t="shared" si="30"/>
        <v>-4.5209412304324044E-6</v>
      </c>
      <c r="W77" s="1267">
        <f t="shared" si="31"/>
        <v>-2.4973885836110982E-8</v>
      </c>
    </row>
    <row r="78" spans="3:26" x14ac:dyDescent="0.25">
      <c r="C78" s="1435">
        <v>14508</v>
      </c>
      <c r="D78" s="1269" t="s">
        <v>50</v>
      </c>
      <c r="E78" s="1254">
        <f>C78/10000</f>
        <v>1.4508000000000001</v>
      </c>
      <c r="F78" s="1435">
        <v>8952</v>
      </c>
      <c r="G78" s="1269" t="s">
        <v>73</v>
      </c>
      <c r="H78" s="1270">
        <f t="shared" si="32"/>
        <v>8952000</v>
      </c>
      <c r="I78" s="1435">
        <f t="shared" si="22"/>
        <v>12987561600.000002</v>
      </c>
      <c r="J78" s="1446">
        <f t="shared" si="23"/>
        <v>12987561.600000001</v>
      </c>
      <c r="K78" s="1446">
        <f t="shared" si="24"/>
        <v>28632672.106014483</v>
      </c>
      <c r="L78" s="1446">
        <f t="shared" si="25"/>
        <v>12987.561600000001</v>
      </c>
      <c r="M78" s="1270">
        <f t="shared" si="26"/>
        <v>417559801.54604459</v>
      </c>
      <c r="N78" s="1447">
        <v>12987561600</v>
      </c>
      <c r="O78" s="1448">
        <v>12987562</v>
      </c>
      <c r="P78" s="1448">
        <v>28632672</v>
      </c>
      <c r="Q78" s="1448">
        <v>12987.6</v>
      </c>
      <c r="R78" s="1447">
        <v>417559802</v>
      </c>
      <c r="S78" s="1277">
        <f t="shared" si="27"/>
        <v>1.4685964090537978E-16</v>
      </c>
      <c r="T78" s="1278">
        <f t="shared" si="28"/>
        <v>-3.079869884966581E-8</v>
      </c>
      <c r="U78" s="1278">
        <f t="shared" si="29"/>
        <v>3.7025703463671432E-9</v>
      </c>
      <c r="V78" s="1278">
        <f t="shared" si="30"/>
        <v>-2.9566751005404861E-6</v>
      </c>
      <c r="W78" s="1279">
        <f t="shared" si="31"/>
        <v>-1.08716262971246E-9</v>
      </c>
    </row>
    <row r="79" spans="3:26" x14ac:dyDescent="0.25">
      <c r="C79" s="1435">
        <v>335</v>
      </c>
      <c r="D79" s="1269" t="s">
        <v>51</v>
      </c>
      <c r="E79" s="1254">
        <f>C79/10</f>
        <v>33.5</v>
      </c>
      <c r="F79" s="1435">
        <v>672</v>
      </c>
      <c r="G79" s="1269" t="s">
        <v>73</v>
      </c>
      <c r="H79" s="1270">
        <f t="shared" si="32"/>
        <v>672000</v>
      </c>
      <c r="I79" s="1435">
        <f t="shared" si="22"/>
        <v>22512000000</v>
      </c>
      <c r="J79" s="1446">
        <f t="shared" si="23"/>
        <v>22512000</v>
      </c>
      <c r="K79" s="1446">
        <f t="shared" si="24"/>
        <v>49630464.463059641</v>
      </c>
      <c r="L79" s="1446">
        <f t="shared" si="25"/>
        <v>22512</v>
      </c>
      <c r="M79" s="1270">
        <f t="shared" si="26"/>
        <v>723777606.75295317</v>
      </c>
      <c r="N79" s="1447">
        <v>22512000000</v>
      </c>
      <c r="O79" s="1448">
        <v>22512000</v>
      </c>
      <c r="P79" s="1448">
        <v>49630464</v>
      </c>
      <c r="Q79" s="1448">
        <v>22512</v>
      </c>
      <c r="R79" s="1447">
        <v>723777607</v>
      </c>
      <c r="S79" s="1277">
        <f t="shared" si="27"/>
        <v>0</v>
      </c>
      <c r="T79" s="1278">
        <f t="shared" si="28"/>
        <v>0</v>
      </c>
      <c r="U79" s="1278">
        <f t="shared" si="29"/>
        <v>9.3301492627678358E-9</v>
      </c>
      <c r="V79" s="1278">
        <f t="shared" si="30"/>
        <v>0</v>
      </c>
      <c r="W79" s="1279">
        <f t="shared" si="31"/>
        <v>-3.4132974820576747E-10</v>
      </c>
    </row>
    <row r="80" spans="3:26" x14ac:dyDescent="0.25">
      <c r="C80" s="1435">
        <v>2398</v>
      </c>
      <c r="D80" s="1269" t="s">
        <v>52</v>
      </c>
      <c r="E80" s="1254">
        <f>C80/1000</f>
        <v>2.3980000000000001</v>
      </c>
      <c r="F80" s="1435">
        <v>6732</v>
      </c>
      <c r="G80" s="1269" t="s">
        <v>73</v>
      </c>
      <c r="H80" s="1270">
        <f t="shared" si="32"/>
        <v>6732000</v>
      </c>
      <c r="I80" s="1435">
        <f t="shared" si="22"/>
        <v>16143336000</v>
      </c>
      <c r="J80" s="1446">
        <f t="shared" si="23"/>
        <v>16143336</v>
      </c>
      <c r="K80" s="1446">
        <f t="shared" si="24"/>
        <v>35589963.73770573</v>
      </c>
      <c r="L80" s="1446">
        <f t="shared" si="25"/>
        <v>16143.335999999999</v>
      </c>
      <c r="M80" s="1270">
        <f t="shared" si="26"/>
        <v>519020304.50820857</v>
      </c>
      <c r="N80" s="1447">
        <v>16143336000</v>
      </c>
      <c r="O80" s="1448">
        <v>16143336</v>
      </c>
      <c r="P80" s="1448">
        <v>35589964</v>
      </c>
      <c r="Q80" s="1448">
        <v>16143.3</v>
      </c>
      <c r="R80" s="1447">
        <v>519020305</v>
      </c>
      <c r="S80" s="1277">
        <f t="shared" si="27"/>
        <v>0</v>
      </c>
      <c r="T80" s="1278">
        <f t="shared" si="28"/>
        <v>0</v>
      </c>
      <c r="U80" s="1278">
        <f t="shared" si="29"/>
        <v>-7.3698942778163645E-9</v>
      </c>
      <c r="V80" s="1278">
        <f t="shared" si="30"/>
        <v>2.2300223448275008E-6</v>
      </c>
      <c r="W80" s="1279">
        <f t="shared" si="31"/>
        <v>-9.4753793418825605E-10</v>
      </c>
    </row>
    <row r="81" spans="3:23" ht="17.25" x14ac:dyDescent="0.25">
      <c r="C81" s="1435">
        <v>2389</v>
      </c>
      <c r="D81" s="1269" t="s">
        <v>68</v>
      </c>
      <c r="E81" s="1254">
        <f>C81</f>
        <v>2389</v>
      </c>
      <c r="F81" s="1435">
        <v>1238</v>
      </c>
      <c r="G81" s="1269" t="s">
        <v>73</v>
      </c>
      <c r="H81" s="1270">
        <f t="shared" si="32"/>
        <v>1238000</v>
      </c>
      <c r="I81" s="1435">
        <f t="shared" si="22"/>
        <v>2957582000000</v>
      </c>
      <c r="J81" s="1446">
        <f t="shared" si="23"/>
        <v>2957582000</v>
      </c>
      <c r="K81" s="1446">
        <f t="shared" si="24"/>
        <v>6520352183.1727457</v>
      </c>
      <c r="L81" s="1446">
        <f t="shared" si="25"/>
        <v>2957582</v>
      </c>
      <c r="M81" s="1270">
        <f t="shared" si="26"/>
        <v>95088469337.935883</v>
      </c>
      <c r="N81" s="1447">
        <v>2957582000000</v>
      </c>
      <c r="O81" s="1448">
        <v>2957582000</v>
      </c>
      <c r="P81" s="1448">
        <v>6520352183</v>
      </c>
      <c r="Q81" s="1448">
        <v>2957582</v>
      </c>
      <c r="R81" s="1447">
        <v>95088469338</v>
      </c>
      <c r="S81" s="1277">
        <f t="shared" si="27"/>
        <v>0</v>
      </c>
      <c r="T81" s="1278">
        <f t="shared" si="28"/>
        <v>0</v>
      </c>
      <c r="U81" s="1278">
        <f t="shared" si="29"/>
        <v>2.649330891921583E-11</v>
      </c>
      <c r="V81" s="1278">
        <f t="shared" si="30"/>
        <v>0</v>
      </c>
      <c r="W81" s="1279">
        <f t="shared" si="31"/>
        <v>-6.7429239409415037E-13</v>
      </c>
    </row>
    <row r="82" spans="3:23" ht="15.75" thickBot="1" x14ac:dyDescent="0.3">
      <c r="C82" s="1440">
        <v>1290</v>
      </c>
      <c r="D82" s="1348" t="s">
        <v>54</v>
      </c>
      <c r="E82" s="1351">
        <f>C82/1000000</f>
        <v>1.2899999999999999E-3</v>
      </c>
      <c r="F82" s="1440">
        <v>652</v>
      </c>
      <c r="G82" s="1348" t="s">
        <v>73</v>
      </c>
      <c r="H82" s="1375">
        <f t="shared" si="32"/>
        <v>652000</v>
      </c>
      <c r="I82" s="1440">
        <f t="shared" si="22"/>
        <v>841079.99999999988</v>
      </c>
      <c r="J82" s="1451">
        <f t="shared" si="23"/>
        <v>841.07999999999993</v>
      </c>
      <c r="K82" s="1451">
        <f t="shared" si="24"/>
        <v>1854.263994784568</v>
      </c>
      <c r="L82" s="1451">
        <f t="shared" si="25"/>
        <v>0.84107999999999994</v>
      </c>
      <c r="M82" s="1375">
        <f t="shared" si="26"/>
        <v>27041.34992394162</v>
      </c>
      <c r="N82" s="1452">
        <v>841080</v>
      </c>
      <c r="O82" s="1453">
        <v>841.08</v>
      </c>
      <c r="P82" s="1453">
        <v>1854.26</v>
      </c>
      <c r="Q82" s="1453">
        <v>0.84108000000000005</v>
      </c>
      <c r="R82" s="1452">
        <v>27041.3</v>
      </c>
      <c r="S82" s="1296">
        <f t="shared" si="27"/>
        <v>-1.384117109275394E-16</v>
      </c>
      <c r="T82" s="1297">
        <f t="shared" si="28"/>
        <v>-1.3516768645267519E-16</v>
      </c>
      <c r="U82" s="1297">
        <f t="shared" si="29"/>
        <v>2.1543774668859036E-6</v>
      </c>
      <c r="V82" s="1297">
        <f t="shared" si="30"/>
        <v>-1.3199969380144061E-16</v>
      </c>
      <c r="W82" s="1298">
        <f t="shared" si="31"/>
        <v>1.8462074475121682E-6</v>
      </c>
    </row>
    <row r="83" spans="3:23" ht="18" thickTop="1" x14ac:dyDescent="0.25">
      <c r="C83" s="310">
        <v>639</v>
      </c>
      <c r="D83" s="62" t="s">
        <v>49</v>
      </c>
      <c r="E83" s="34">
        <f>C83/100000</f>
        <v>6.3899999999999998E-3</v>
      </c>
      <c r="F83" s="310">
        <v>8791</v>
      </c>
      <c r="G83" s="62" t="s">
        <v>76</v>
      </c>
      <c r="H83" s="35">
        <f t="shared" ref="H83:H88" si="33">F83</f>
        <v>8791</v>
      </c>
      <c r="I83" s="310">
        <f t="shared" si="22"/>
        <v>56174.49</v>
      </c>
      <c r="J83" s="117">
        <f t="shared" si="23"/>
        <v>56.174489999999999</v>
      </c>
      <c r="K83" s="117">
        <f t="shared" si="24"/>
        <v>123.84355142481783</v>
      </c>
      <c r="L83" s="117">
        <f t="shared" si="25"/>
        <v>5.6174490000000001E-2</v>
      </c>
      <c r="M83" s="35">
        <f t="shared" si="26"/>
        <v>1806.0517916119268</v>
      </c>
      <c r="N83" s="629">
        <v>56174.5</v>
      </c>
      <c r="O83" s="630">
        <v>56.174500000000002</v>
      </c>
      <c r="P83" s="630">
        <v>123.84399999999999</v>
      </c>
      <c r="Q83" s="630">
        <v>5.6174500000000002E-2</v>
      </c>
      <c r="R83" s="629">
        <v>1806.05</v>
      </c>
      <c r="S83" s="155">
        <f t="shared" si="27"/>
        <v>-1.780167474958343E-7</v>
      </c>
      <c r="T83" s="156">
        <f t="shared" si="28"/>
        <v>-1.7801674751607246E-7</v>
      </c>
      <c r="U83" s="156">
        <f t="shared" si="29"/>
        <v>-3.6221117450287387E-6</v>
      </c>
      <c r="V83" s="156">
        <f t="shared" si="30"/>
        <v>-1.7801674748939127E-7</v>
      </c>
      <c r="W83" s="157">
        <f t="shared" si="31"/>
        <v>9.9200473382896479E-7</v>
      </c>
    </row>
    <row r="84" spans="3:23" ht="17.25" x14ac:dyDescent="0.25">
      <c r="C84" s="310">
        <v>239</v>
      </c>
      <c r="D84" s="62" t="s">
        <v>50</v>
      </c>
      <c r="E84" s="34">
        <f>C84/10000</f>
        <v>2.3900000000000001E-2</v>
      </c>
      <c r="F84" s="310">
        <v>4522</v>
      </c>
      <c r="G84" s="62" t="s">
        <v>76</v>
      </c>
      <c r="H84" s="35">
        <f t="shared" si="33"/>
        <v>4522</v>
      </c>
      <c r="I84" s="310">
        <f t="shared" si="22"/>
        <v>108075.8</v>
      </c>
      <c r="J84" s="117">
        <f t="shared" si="23"/>
        <v>108.0758</v>
      </c>
      <c r="K84" s="117">
        <f t="shared" si="24"/>
        <v>238.26635355440391</v>
      </c>
      <c r="L84" s="117">
        <f t="shared" si="25"/>
        <v>0.1080758</v>
      </c>
      <c r="M84" s="35">
        <f t="shared" si="26"/>
        <v>3474.7176560017242</v>
      </c>
      <c r="N84" s="629">
        <v>108076</v>
      </c>
      <c r="O84" s="630">
        <v>108.07599999999999</v>
      </c>
      <c r="P84" s="630">
        <v>238.26599999999999</v>
      </c>
      <c r="Q84" s="630">
        <v>0.10807600000000001</v>
      </c>
      <c r="R84" s="629">
        <v>3474.72</v>
      </c>
      <c r="S84" s="155">
        <f t="shared" si="27"/>
        <v>-1.8505530377484101E-6</v>
      </c>
      <c r="T84" s="156">
        <f t="shared" si="28"/>
        <v>-1.8505530377052815E-6</v>
      </c>
      <c r="U84" s="156">
        <f t="shared" si="29"/>
        <v>1.4838620671405052E-6</v>
      </c>
      <c r="V84" s="156">
        <f t="shared" si="30"/>
        <v>-1.8505530378285531E-6</v>
      </c>
      <c r="W84" s="157">
        <f t="shared" si="31"/>
        <v>-6.7458668808472729E-7</v>
      </c>
    </row>
    <row r="85" spans="3:23" ht="17.25" x14ac:dyDescent="0.25">
      <c r="C85" s="310">
        <v>1255</v>
      </c>
      <c r="D85" s="62" t="s">
        <v>51</v>
      </c>
      <c r="E85" s="34">
        <f>C85/10</f>
        <v>125.5</v>
      </c>
      <c r="F85" s="310">
        <v>762</v>
      </c>
      <c r="G85" s="62" t="s">
        <v>79</v>
      </c>
      <c r="H85" s="35">
        <f t="shared" si="33"/>
        <v>762</v>
      </c>
      <c r="I85" s="310">
        <f t="shared" si="22"/>
        <v>95631000</v>
      </c>
      <c r="J85" s="117">
        <f t="shared" si="23"/>
        <v>95631</v>
      </c>
      <c r="K85" s="117">
        <f t="shared" si="24"/>
        <v>210830.26595002026</v>
      </c>
      <c r="L85" s="117">
        <f t="shared" si="25"/>
        <v>95.631</v>
      </c>
      <c r="M85" s="35">
        <f t="shared" si="26"/>
        <v>3074608.0451044627</v>
      </c>
      <c r="N85" s="629">
        <v>95631000</v>
      </c>
      <c r="O85" s="630">
        <v>95631</v>
      </c>
      <c r="P85" s="630">
        <v>210830</v>
      </c>
      <c r="Q85" s="630">
        <v>95.631</v>
      </c>
      <c r="R85" s="629">
        <v>3074608</v>
      </c>
      <c r="S85" s="155">
        <f t="shared" si="27"/>
        <v>0</v>
      </c>
      <c r="T85" s="156">
        <f t="shared" si="28"/>
        <v>0</v>
      </c>
      <c r="U85" s="156">
        <f t="shared" si="29"/>
        <v>1.2614413735084755E-6</v>
      </c>
      <c r="V85" s="156">
        <f t="shared" si="30"/>
        <v>0</v>
      </c>
      <c r="W85" s="157">
        <f t="shared" si="31"/>
        <v>1.4669987846163346E-8</v>
      </c>
    </row>
    <row r="86" spans="3:23" ht="17.25" x14ac:dyDescent="0.25">
      <c r="C86" s="310">
        <v>555</v>
      </c>
      <c r="D86" s="62" t="s">
        <v>52</v>
      </c>
      <c r="E86" s="34">
        <f>C86/1000</f>
        <v>0.55500000000000005</v>
      </c>
      <c r="F86" s="310">
        <v>781</v>
      </c>
      <c r="G86" s="62" t="s">
        <v>79</v>
      </c>
      <c r="H86" s="35">
        <f t="shared" si="33"/>
        <v>781</v>
      </c>
      <c r="I86" s="310">
        <f t="shared" si="22"/>
        <v>433455.00000000006</v>
      </c>
      <c r="J86" s="117">
        <f t="shared" si="23"/>
        <v>433.45500000000004</v>
      </c>
      <c r="K86" s="117">
        <f t="shared" si="24"/>
        <v>955.60469855346116</v>
      </c>
      <c r="L86" s="117">
        <f t="shared" si="25"/>
        <v>0.43345500000000003</v>
      </c>
      <c r="M86" s="35">
        <f t="shared" si="26"/>
        <v>13935.901853904643</v>
      </c>
      <c r="N86" s="629">
        <v>433455</v>
      </c>
      <c r="O86" s="630">
        <v>433.45499999999998</v>
      </c>
      <c r="P86" s="630">
        <v>955.60500000000002</v>
      </c>
      <c r="Q86" s="630">
        <v>0.43345499999999998</v>
      </c>
      <c r="R86" s="629">
        <v>13935.9</v>
      </c>
      <c r="S86" s="155">
        <f t="shared" si="27"/>
        <v>1.3428766749366694E-16</v>
      </c>
      <c r="T86" s="156">
        <f t="shared" si="28"/>
        <v>1.3114030028678411E-16</v>
      </c>
      <c r="U86" s="156">
        <f t="shared" si="29"/>
        <v>-3.1545108485999557E-7</v>
      </c>
      <c r="V86" s="156">
        <f t="shared" si="30"/>
        <v>1.2806669949881261E-16</v>
      </c>
      <c r="W86" s="157">
        <f t="shared" si="31"/>
        <v>1.330308337879839E-7</v>
      </c>
    </row>
    <row r="87" spans="3:23" ht="17.25" x14ac:dyDescent="0.25">
      <c r="C87" s="310">
        <v>1288</v>
      </c>
      <c r="D87" s="62" t="s">
        <v>68</v>
      </c>
      <c r="E87" s="34">
        <f>C87</f>
        <v>1288</v>
      </c>
      <c r="F87" s="310">
        <v>8932</v>
      </c>
      <c r="G87" s="62" t="s">
        <v>79</v>
      </c>
      <c r="H87" s="35">
        <f t="shared" si="33"/>
        <v>8932</v>
      </c>
      <c r="I87" s="310">
        <f t="shared" si="22"/>
        <v>11504416000</v>
      </c>
      <c r="J87" s="117">
        <f t="shared" si="23"/>
        <v>11504416</v>
      </c>
      <c r="K87" s="117">
        <f t="shared" si="24"/>
        <v>25362895.764759004</v>
      </c>
      <c r="L87" s="117">
        <f t="shared" si="25"/>
        <v>11504.415999999999</v>
      </c>
      <c r="M87" s="35">
        <f t="shared" si="26"/>
        <v>369875563.23606884</v>
      </c>
      <c r="N87" s="629">
        <v>11504416000</v>
      </c>
      <c r="O87" s="630">
        <v>11504416</v>
      </c>
      <c r="P87" s="630">
        <v>25362896</v>
      </c>
      <c r="Q87" s="630">
        <v>11504.4</v>
      </c>
      <c r="R87" s="629">
        <v>369875563</v>
      </c>
      <c r="S87" s="155">
        <f t="shared" si="27"/>
        <v>0</v>
      </c>
      <c r="T87" s="156">
        <f t="shared" si="28"/>
        <v>0</v>
      </c>
      <c r="U87" s="156">
        <f t="shared" si="29"/>
        <v>-9.2750054278424349E-9</v>
      </c>
      <c r="V87" s="156">
        <f t="shared" si="30"/>
        <v>1.3907702920010587E-6</v>
      </c>
      <c r="W87" s="157">
        <f t="shared" si="31"/>
        <v>6.382385544204195E-10</v>
      </c>
    </row>
    <row r="88" spans="3:23" ht="18" thickBot="1" x14ac:dyDescent="0.3">
      <c r="C88" s="316">
        <v>777</v>
      </c>
      <c r="D88" s="290" t="s">
        <v>54</v>
      </c>
      <c r="E88" s="294">
        <f>C88/1000000</f>
        <v>7.7700000000000002E-4</v>
      </c>
      <c r="F88" s="316">
        <v>3211</v>
      </c>
      <c r="G88" s="290" t="s">
        <v>79</v>
      </c>
      <c r="H88" s="291">
        <f t="shared" si="33"/>
        <v>3211</v>
      </c>
      <c r="I88" s="316">
        <f t="shared" si="22"/>
        <v>2494.9470000000001</v>
      </c>
      <c r="J88" s="317">
        <f t="shared" si="23"/>
        <v>2.4949470000000002</v>
      </c>
      <c r="K88" s="317">
        <f t="shared" si="24"/>
        <v>5.5004165965137375</v>
      </c>
      <c r="L88" s="317">
        <f t="shared" si="25"/>
        <v>2.4949470000000004E-3</v>
      </c>
      <c r="M88" s="291">
        <f t="shared" si="26"/>
        <v>80.214408699158682</v>
      </c>
      <c r="N88" s="642">
        <v>2494.9499999999998</v>
      </c>
      <c r="O88" s="643">
        <v>2.4949499999999998</v>
      </c>
      <c r="P88" s="643">
        <v>5.5004200000000001</v>
      </c>
      <c r="Q88" s="643">
        <v>2.4949500000000001E-3</v>
      </c>
      <c r="R88" s="642">
        <v>80.214399999999998</v>
      </c>
      <c r="S88" s="162">
        <f t="shared" si="27"/>
        <v>-1.2024303521083557E-6</v>
      </c>
      <c r="T88" s="163">
        <f t="shared" si="28"/>
        <v>-1.2024303520400053E-6</v>
      </c>
      <c r="U88" s="163">
        <f t="shared" si="29"/>
        <v>-6.1876881557587236E-7</v>
      </c>
      <c r="V88" s="163">
        <f t="shared" si="30"/>
        <v>-1.2024303521164877E-6</v>
      </c>
      <c r="W88" s="164">
        <f t="shared" si="31"/>
        <v>1.08448828896722E-7</v>
      </c>
    </row>
    <row r="89" spans="3:23" ht="15.75" thickTop="1" x14ac:dyDescent="0.25">
      <c r="C89" s="420">
        <v>4522</v>
      </c>
      <c r="D89" s="383" t="s">
        <v>49</v>
      </c>
      <c r="E89" s="384">
        <f>C89/100000</f>
        <v>4.5220000000000003E-2</v>
      </c>
      <c r="F89" s="420">
        <v>891</v>
      </c>
      <c r="G89" s="383" t="s">
        <v>74</v>
      </c>
      <c r="H89" s="390">
        <f t="shared" ref="H89:H94" si="34">F89*(0.45359237/0.3048^3)</f>
        <v>14272.450866198484</v>
      </c>
      <c r="I89" s="420">
        <f t="shared" si="22"/>
        <v>645400.22816949547</v>
      </c>
      <c r="J89" s="421">
        <f t="shared" si="23"/>
        <v>645.40022816949545</v>
      </c>
      <c r="K89" s="421">
        <f t="shared" si="24"/>
        <v>1422.8639431688312</v>
      </c>
      <c r="L89" s="421">
        <f t="shared" si="25"/>
        <v>0.64540022816949549</v>
      </c>
      <c r="M89" s="390">
        <f t="shared" si="26"/>
        <v>20750.099171212121</v>
      </c>
      <c r="N89" s="649">
        <v>645400</v>
      </c>
      <c r="O89" s="650">
        <v>645.4</v>
      </c>
      <c r="P89" s="650">
        <v>1422.86</v>
      </c>
      <c r="Q89" s="650">
        <v>0.64539999999999997</v>
      </c>
      <c r="R89" s="649">
        <v>20750.099999999999</v>
      </c>
      <c r="S89" s="210">
        <f t="shared" si="27"/>
        <v>3.53531786190758E-7</v>
      </c>
      <c r="T89" s="211">
        <f t="shared" si="28"/>
        <v>3.535317861893488E-7</v>
      </c>
      <c r="U89" s="211">
        <f t="shared" si="29"/>
        <v>2.7712901505356625E-6</v>
      </c>
      <c r="V89" s="211">
        <f t="shared" si="30"/>
        <v>3.5353178626366181E-7</v>
      </c>
      <c r="W89" s="212">
        <f t="shared" si="31"/>
        <v>-3.9941393552630225E-8</v>
      </c>
    </row>
    <row r="90" spans="3:23" x14ac:dyDescent="0.25">
      <c r="C90" s="412">
        <v>4560</v>
      </c>
      <c r="D90" s="214" t="s">
        <v>50</v>
      </c>
      <c r="E90" s="215">
        <f>C90/10000</f>
        <v>0.45600000000000002</v>
      </c>
      <c r="F90" s="412">
        <v>6732</v>
      </c>
      <c r="G90" s="214" t="s">
        <v>74</v>
      </c>
      <c r="H90" s="216">
        <f t="shared" si="34"/>
        <v>107836.29543349965</v>
      </c>
      <c r="I90" s="412">
        <f t="shared" si="22"/>
        <v>49173350.717675842</v>
      </c>
      <c r="J90" s="274">
        <f t="shared" si="23"/>
        <v>49173.350717675843</v>
      </c>
      <c r="K90" s="274">
        <f t="shared" si="24"/>
        <v>108408.68138429189</v>
      </c>
      <c r="L90" s="274">
        <f t="shared" si="25"/>
        <v>49.173350717675845</v>
      </c>
      <c r="M90" s="216">
        <f t="shared" si="26"/>
        <v>1580959.9368542568</v>
      </c>
      <c r="N90" s="631">
        <v>49173351</v>
      </c>
      <c r="O90" s="632">
        <v>49173.4</v>
      </c>
      <c r="P90" s="632">
        <v>108409</v>
      </c>
      <c r="Q90" s="632">
        <v>49.173400000000001</v>
      </c>
      <c r="R90" s="631">
        <v>1580960</v>
      </c>
      <c r="S90" s="221">
        <f t="shared" si="27"/>
        <v>-5.741405731656902E-9</v>
      </c>
      <c r="T90" s="222">
        <f t="shared" si="28"/>
        <v>-1.0022161076913745E-6</v>
      </c>
      <c r="U90" s="222">
        <f t="shared" si="29"/>
        <v>-2.9390239235343349E-6</v>
      </c>
      <c r="V90" s="222">
        <f t="shared" si="30"/>
        <v>-1.0022161076381993E-6</v>
      </c>
      <c r="W90" s="223">
        <f t="shared" si="31"/>
        <v>-3.9941393671850165E-8</v>
      </c>
    </row>
    <row r="91" spans="3:23" x14ac:dyDescent="0.25">
      <c r="C91" s="412">
        <v>111</v>
      </c>
      <c r="D91" s="214" t="s">
        <v>51</v>
      </c>
      <c r="E91" s="215">
        <f>C91/10</f>
        <v>11.1</v>
      </c>
      <c r="F91" s="412">
        <v>773</v>
      </c>
      <c r="G91" s="214" t="s">
        <v>74</v>
      </c>
      <c r="H91" s="216">
        <f t="shared" si="34"/>
        <v>12382.272188071187</v>
      </c>
      <c r="I91" s="412">
        <f t="shared" si="22"/>
        <v>137443221.28759015</v>
      </c>
      <c r="J91" s="274">
        <f t="shared" si="23"/>
        <v>137443.22128759016</v>
      </c>
      <c r="K91" s="274">
        <f t="shared" si="24"/>
        <v>303010.43487038848</v>
      </c>
      <c r="L91" s="274">
        <f t="shared" si="25"/>
        <v>137.44322128759015</v>
      </c>
      <c r="M91" s="216">
        <f t="shared" si="26"/>
        <v>4418902.1751931654</v>
      </c>
      <c r="N91" s="631">
        <v>137443221</v>
      </c>
      <c r="O91" s="632">
        <v>137443</v>
      </c>
      <c r="P91" s="632">
        <v>303010</v>
      </c>
      <c r="Q91" s="632">
        <v>137.44300000000001</v>
      </c>
      <c r="R91" s="631">
        <v>4418902</v>
      </c>
      <c r="S91" s="221">
        <f t="shared" si="27"/>
        <v>2.0924287379949892E-9</v>
      </c>
      <c r="T91" s="222">
        <f t="shared" si="28"/>
        <v>1.6100291312110018E-6</v>
      </c>
      <c r="U91" s="222">
        <f t="shared" si="29"/>
        <v>1.4351663785481871E-6</v>
      </c>
      <c r="V91" s="222">
        <f t="shared" si="30"/>
        <v>1.6100291310356452E-6</v>
      </c>
      <c r="W91" s="223">
        <f t="shared" si="31"/>
        <v>3.9646309984510616E-8</v>
      </c>
    </row>
    <row r="92" spans="3:23" x14ac:dyDescent="0.25">
      <c r="C92" s="412">
        <v>2299</v>
      </c>
      <c r="D92" s="214" t="s">
        <v>52</v>
      </c>
      <c r="E92" s="215">
        <f>C92/1000</f>
        <v>2.2989999999999999</v>
      </c>
      <c r="F92" s="412">
        <v>881</v>
      </c>
      <c r="G92" s="214" t="s">
        <v>74</v>
      </c>
      <c r="H92" s="216">
        <f t="shared" si="34"/>
        <v>14112.266232458882</v>
      </c>
      <c r="I92" s="412">
        <f t="shared" si="22"/>
        <v>32444100.068422969</v>
      </c>
      <c r="J92" s="274">
        <f t="shared" si="23"/>
        <v>32444.100068422969</v>
      </c>
      <c r="K92" s="274">
        <f t="shared" si="24"/>
        <v>71526.996956370684</v>
      </c>
      <c r="L92" s="274">
        <f t="shared" si="25"/>
        <v>32.444100068422969</v>
      </c>
      <c r="M92" s="216">
        <f t="shared" si="26"/>
        <v>1043102.0389470727</v>
      </c>
      <c r="N92" s="631">
        <v>32444100</v>
      </c>
      <c r="O92" s="632">
        <v>32444.1</v>
      </c>
      <c r="P92" s="632">
        <v>71527</v>
      </c>
      <c r="Q92" s="632">
        <v>32.444099999999999</v>
      </c>
      <c r="R92" s="631">
        <v>1043102</v>
      </c>
      <c r="S92" s="221">
        <f t="shared" si="27"/>
        <v>2.1089495250718759E-9</v>
      </c>
      <c r="T92" s="222">
        <f t="shared" si="28"/>
        <v>2.1089495672330095E-9</v>
      </c>
      <c r="U92" s="222">
        <f t="shared" si="29"/>
        <v>-4.2552175344880895E-8</v>
      </c>
      <c r="V92" s="222">
        <f t="shared" si="30"/>
        <v>2.1089495549687169E-9</v>
      </c>
      <c r="W92" s="223">
        <f t="shared" si="31"/>
        <v>3.7337739972518257E-8</v>
      </c>
    </row>
    <row r="93" spans="3:23" ht="17.25" x14ac:dyDescent="0.25">
      <c r="C93" s="412">
        <v>562</v>
      </c>
      <c r="D93" s="214" t="s">
        <v>68</v>
      </c>
      <c r="E93" s="215">
        <f>C93</f>
        <v>562</v>
      </c>
      <c r="F93" s="412">
        <v>935</v>
      </c>
      <c r="G93" s="214" t="s">
        <v>74</v>
      </c>
      <c r="H93" s="216">
        <f t="shared" si="34"/>
        <v>14977.263254652729</v>
      </c>
      <c r="I93" s="412">
        <f t="shared" si="22"/>
        <v>8417221949.1148329</v>
      </c>
      <c r="J93" s="274">
        <f t="shared" si="23"/>
        <v>8417221.949114833</v>
      </c>
      <c r="K93" s="274">
        <f t="shared" si="24"/>
        <v>18556797.922140606</v>
      </c>
      <c r="L93" s="274">
        <f t="shared" si="25"/>
        <v>8417.2219491148335</v>
      </c>
      <c r="M93" s="216">
        <f t="shared" si="26"/>
        <v>270619969.69788384</v>
      </c>
      <c r="N93" s="631">
        <v>8417221949</v>
      </c>
      <c r="O93" s="632">
        <v>8417222</v>
      </c>
      <c r="P93" s="632">
        <v>18556798</v>
      </c>
      <c r="Q93" s="632">
        <v>8417.2199999999993</v>
      </c>
      <c r="R93" s="631">
        <v>270619970</v>
      </c>
      <c r="S93" s="221">
        <f t="shared" si="27"/>
        <v>1.3642610211183628E-11</v>
      </c>
      <c r="T93" s="222">
        <f t="shared" si="28"/>
        <v>-6.0453635748819417E-9</v>
      </c>
      <c r="U93" s="222">
        <f t="shared" si="29"/>
        <v>-4.1957343383798003E-9</v>
      </c>
      <c r="V93" s="222">
        <f t="shared" si="30"/>
        <v>2.3156272294067778E-7</v>
      </c>
      <c r="W93" s="223">
        <f t="shared" si="31"/>
        <v>-1.1163852984008079E-9</v>
      </c>
    </row>
    <row r="94" spans="3:23" ht="15.75" thickBot="1" x14ac:dyDescent="0.3">
      <c r="C94" s="397">
        <v>902</v>
      </c>
      <c r="D94" s="398" t="s">
        <v>54</v>
      </c>
      <c r="E94" s="399">
        <f>C94/1000000</f>
        <v>9.0200000000000002E-4</v>
      </c>
      <c r="F94" s="397">
        <v>901</v>
      </c>
      <c r="G94" s="398" t="s">
        <v>74</v>
      </c>
      <c r="H94" s="410">
        <f t="shared" si="34"/>
        <v>14432.635499938084</v>
      </c>
      <c r="I94" s="397">
        <f t="shared" si="22"/>
        <v>13018.237220944151</v>
      </c>
      <c r="J94" s="428">
        <f t="shared" si="23"/>
        <v>13.018237220944151</v>
      </c>
      <c r="K94" s="428">
        <f t="shared" si="24"/>
        <v>28.700300273887215</v>
      </c>
      <c r="L94" s="428">
        <f t="shared" si="25"/>
        <v>1.301823722094415E-2</v>
      </c>
      <c r="M94" s="410">
        <f t="shared" si="26"/>
        <v>418.54604566085521</v>
      </c>
      <c r="N94" s="641">
        <v>13018.2</v>
      </c>
      <c r="O94" s="639">
        <v>13.0182</v>
      </c>
      <c r="P94" s="639">
        <v>28.700299999999999</v>
      </c>
      <c r="Q94" s="639">
        <v>1.3018200000000001E-2</v>
      </c>
      <c r="R94" s="641">
        <v>418.54599999999999</v>
      </c>
      <c r="S94" s="234">
        <f t="shared" si="27"/>
        <v>2.8591385698800214E-6</v>
      </c>
      <c r="T94" s="235">
        <f t="shared" si="28"/>
        <v>2.8591385699236859E-6</v>
      </c>
      <c r="U94" s="235">
        <f t="shared" si="29"/>
        <v>9.5430087592263594E-9</v>
      </c>
      <c r="V94" s="235">
        <f t="shared" si="30"/>
        <v>2.8591385698405361E-6</v>
      </c>
      <c r="W94" s="236">
        <f t="shared" si="31"/>
        <v>1.0909398307464659E-7</v>
      </c>
    </row>
    <row r="95" spans="3:23" ht="15.75" thickTop="1" x14ac:dyDescent="0.25"/>
  </sheetData>
  <mergeCells count="31">
    <mergeCell ref="C43:H43"/>
    <mergeCell ref="C2:J2"/>
    <mergeCell ref="C4:E4"/>
    <mergeCell ref="H4:I4"/>
    <mergeCell ref="C8:H8"/>
    <mergeCell ref="C9:E9"/>
    <mergeCell ref="F9:H9"/>
    <mergeCell ref="I8:L8"/>
    <mergeCell ref="I43:N43"/>
    <mergeCell ref="M9:P9"/>
    <mergeCell ref="E6:G6"/>
    <mergeCell ref="Q8:T8"/>
    <mergeCell ref="Q9:T9"/>
    <mergeCell ref="M8:P8"/>
    <mergeCell ref="I9:L9"/>
    <mergeCell ref="O43:T43"/>
    <mergeCell ref="U43:Z43"/>
    <mergeCell ref="I44:N44"/>
    <mergeCell ref="O44:T44"/>
    <mergeCell ref="U44:Z44"/>
    <mergeCell ref="S68:W68"/>
    <mergeCell ref="I69:M69"/>
    <mergeCell ref="N69:R69"/>
    <mergeCell ref="S69:W69"/>
    <mergeCell ref="C44:E44"/>
    <mergeCell ref="F44:H44"/>
    <mergeCell ref="C68:H68"/>
    <mergeCell ref="C69:E69"/>
    <mergeCell ref="F69:H69"/>
    <mergeCell ref="I68:M68"/>
    <mergeCell ref="N68:R68"/>
  </mergeCells>
  <conditionalFormatting sqref="Q11:T40 U46:Z65 S71:W94">
    <cfRule type="cellIs" dxfId="13" priority="2" operator="notBetween">
      <formula>-0.01</formula>
      <formula>0.01</formula>
    </cfRule>
    <cfRule type="cellIs" dxfId="12" priority="1" operator="notBetween">
      <formula>-0.001</formula>
      <formula>0.001</formula>
    </cfRule>
  </conditionalFormatting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AL57"/>
  <sheetViews>
    <sheetView topLeftCell="A28" zoomScaleNormal="100" workbookViewId="0">
      <selection activeCell="B2" sqref="B2"/>
    </sheetView>
  </sheetViews>
  <sheetFormatPr defaultColWidth="18.7109375" defaultRowHeight="15" x14ac:dyDescent="0.25"/>
  <cols>
    <col min="1" max="2" width="5.7109375" style="9" customWidth="1"/>
    <col min="3" max="3" width="12.7109375" style="9" customWidth="1"/>
    <col min="4" max="4" width="10.7109375" style="9" customWidth="1"/>
    <col min="5" max="5" width="18.7109375" style="9"/>
    <col min="6" max="6" width="12.7109375" style="9" customWidth="1"/>
    <col min="7" max="7" width="10.7109375" style="9" customWidth="1"/>
    <col min="8" max="24" width="18.7109375" style="9"/>
    <col min="25" max="32" width="20.5703125" style="9" bestFit="1" customWidth="1"/>
    <col min="33" max="16384" width="18.7109375" style="9"/>
  </cols>
  <sheetData>
    <row r="2" spans="3:38" ht="21" x14ac:dyDescent="0.35">
      <c r="C2" s="2490" t="s">
        <v>26</v>
      </c>
      <c r="D2" s="2491"/>
      <c r="E2" s="2491"/>
      <c r="F2" s="2491"/>
      <c r="G2" s="2491"/>
      <c r="H2" s="2491"/>
      <c r="I2" s="2491"/>
      <c r="J2" s="2491"/>
    </row>
    <row r="3" spans="3:38" x14ac:dyDescent="0.25"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3:38" x14ac:dyDescent="0.25">
      <c r="C4" s="2501" t="s">
        <v>22</v>
      </c>
      <c r="D4" s="2502"/>
      <c r="E4" s="2503"/>
      <c r="F4" s="20"/>
      <c r="G4" s="20"/>
      <c r="H4" s="2501" t="s">
        <v>23</v>
      </c>
      <c r="I4" s="2503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</row>
    <row r="5" spans="3:38" ht="15.75" thickBot="1" x14ac:dyDescent="0.3"/>
    <row r="6" spans="3:38" ht="19.5" thickBot="1" x14ac:dyDescent="0.35">
      <c r="E6" s="2497" t="s">
        <v>81</v>
      </c>
      <c r="F6" s="2498"/>
      <c r="G6" s="2499"/>
    </row>
    <row r="7" spans="3:38" ht="15.75" thickBot="1" x14ac:dyDescent="0.3">
      <c r="O7" s="2143"/>
      <c r="P7" s="2143"/>
      <c r="Q7" s="2143"/>
      <c r="R7" s="2143"/>
      <c r="S7" s="2143"/>
      <c r="T7" s="2143"/>
      <c r="U7" s="2143"/>
    </row>
    <row r="8" spans="3:38" ht="15.75" thickTop="1" x14ac:dyDescent="0.25">
      <c r="C8" s="2488" t="s">
        <v>0</v>
      </c>
      <c r="D8" s="2489"/>
      <c r="E8" s="2489"/>
      <c r="F8" s="2489"/>
      <c r="G8" s="2489"/>
      <c r="H8" s="2489"/>
      <c r="I8" s="2506" t="s">
        <v>158</v>
      </c>
      <c r="J8" s="2520"/>
      <c r="K8" s="2506" t="s">
        <v>17</v>
      </c>
      <c r="L8" s="2518"/>
      <c r="M8" s="2519" t="s">
        <v>8</v>
      </c>
      <c r="N8" s="2518"/>
      <c r="O8" s="2142"/>
      <c r="P8" s="2142"/>
      <c r="Q8" s="2142"/>
      <c r="R8" s="2142"/>
      <c r="S8" s="2142"/>
      <c r="T8" s="2142"/>
      <c r="U8" s="2143"/>
      <c r="V8" s="2137"/>
    </row>
    <row r="9" spans="3:38" ht="15.75" thickBot="1" x14ac:dyDescent="0.3">
      <c r="C9" s="2486" t="s">
        <v>139</v>
      </c>
      <c r="D9" s="2487"/>
      <c r="E9" s="2487"/>
      <c r="F9" s="2486" t="s">
        <v>140</v>
      </c>
      <c r="G9" s="2487"/>
      <c r="H9" s="2496"/>
      <c r="I9" s="2480" t="s">
        <v>141</v>
      </c>
      <c r="J9" s="2521"/>
      <c r="K9" s="2486" t="s">
        <v>141</v>
      </c>
      <c r="L9" s="2517"/>
      <c r="M9" s="2481" t="s">
        <v>141</v>
      </c>
      <c r="N9" s="2517"/>
      <c r="O9" s="2142"/>
      <c r="P9" s="2142"/>
      <c r="Q9" s="2142"/>
      <c r="R9" s="2142"/>
      <c r="S9" s="2142"/>
      <c r="T9" s="2142"/>
      <c r="U9" s="2143"/>
    </row>
    <row r="10" spans="3:38" ht="15.75" thickBot="1" x14ac:dyDescent="0.3">
      <c r="C10" s="82" t="s">
        <v>3</v>
      </c>
      <c r="D10" s="66" t="s">
        <v>4</v>
      </c>
      <c r="E10" s="84" t="s">
        <v>85</v>
      </c>
      <c r="F10" s="82" t="s">
        <v>3</v>
      </c>
      <c r="G10" s="66" t="s">
        <v>4</v>
      </c>
      <c r="H10" s="85" t="s">
        <v>42</v>
      </c>
      <c r="I10" s="2158" t="s">
        <v>82</v>
      </c>
      <c r="J10" s="89" t="s">
        <v>83</v>
      </c>
      <c r="K10" s="698" t="s">
        <v>82</v>
      </c>
      <c r="L10" s="85" t="s">
        <v>83</v>
      </c>
      <c r="M10" s="84" t="s">
        <v>82</v>
      </c>
      <c r="N10" s="699" t="s">
        <v>83</v>
      </c>
      <c r="O10" s="2142"/>
      <c r="P10" s="2142"/>
      <c r="Q10" s="2142"/>
      <c r="R10" s="2142"/>
      <c r="S10" s="2142"/>
      <c r="T10" s="2142"/>
      <c r="U10" s="2143"/>
    </row>
    <row r="11" spans="3:38" ht="15.75" thickTop="1" x14ac:dyDescent="0.25">
      <c r="C11" s="968">
        <v>520</v>
      </c>
      <c r="D11" s="964" t="s">
        <v>84</v>
      </c>
      <c r="E11" s="965">
        <f>C11*9.80665</f>
        <v>5099.4579999999996</v>
      </c>
      <c r="F11" s="968">
        <v>45</v>
      </c>
      <c r="G11" s="964" t="s">
        <v>39</v>
      </c>
      <c r="H11" s="967">
        <f>F11/100</f>
        <v>0.45</v>
      </c>
      <c r="I11" s="968">
        <f>J11*100</f>
        <v>229475.61000000002</v>
      </c>
      <c r="J11" s="1249">
        <f>E11*H11</f>
        <v>2294.7561000000001</v>
      </c>
      <c r="K11" s="2150">
        <v>229476</v>
      </c>
      <c r="L11" s="1250">
        <v>2294.7600000000002</v>
      </c>
      <c r="M11" s="1104">
        <f>(I11-K11)/I11</f>
        <v>-1.69952702156393E-6</v>
      </c>
      <c r="N11" s="2159">
        <f>(J11-L11)/J11</f>
        <v>-1.6995270216986843E-6</v>
      </c>
      <c r="O11" s="2142"/>
      <c r="P11" s="2142"/>
      <c r="Q11" s="2142"/>
      <c r="R11" s="2142"/>
      <c r="S11" s="2142"/>
      <c r="T11" s="2142"/>
      <c r="U11" s="2143"/>
    </row>
    <row r="12" spans="3:38" ht="15.75" thickBot="1" x14ac:dyDescent="0.3">
      <c r="C12" s="1064">
        <v>1540</v>
      </c>
      <c r="D12" s="953" t="s">
        <v>85</v>
      </c>
      <c r="E12" s="1065">
        <f>C12</f>
        <v>1540</v>
      </c>
      <c r="F12" s="1064">
        <v>460</v>
      </c>
      <c r="G12" s="953" t="s">
        <v>39</v>
      </c>
      <c r="H12" s="954">
        <f>F12/100</f>
        <v>4.5999999999999996</v>
      </c>
      <c r="I12" s="1072">
        <f t="shared" ref="I12:I26" si="0">J12*100</f>
        <v>708399.99999999988</v>
      </c>
      <c r="J12" s="2149">
        <f t="shared" ref="J12:J26" si="1">E12*H12</f>
        <v>7083.9999999999991</v>
      </c>
      <c r="K12" s="1233">
        <v>708400</v>
      </c>
      <c r="L12" s="1232">
        <v>7084</v>
      </c>
      <c r="M12" s="1107">
        <f t="shared" ref="M12:M26" si="2">(I12-K12)/I12</f>
        <v>-1.6433557570148904E-16</v>
      </c>
      <c r="N12" s="1234">
        <f t="shared" ref="N12:N26" si="3">(J12-L12)/J12</f>
        <v>-1.283871685167883E-16</v>
      </c>
      <c r="O12" s="2142"/>
      <c r="P12" s="2142"/>
      <c r="Q12" s="2142"/>
      <c r="R12" s="2142"/>
      <c r="S12" s="2142"/>
      <c r="T12" s="2142"/>
      <c r="U12" s="2143"/>
    </row>
    <row r="13" spans="3:38" ht="15.75" thickTop="1" x14ac:dyDescent="0.25">
      <c r="C13" s="2232">
        <v>12</v>
      </c>
      <c r="D13" s="2233" t="s">
        <v>84</v>
      </c>
      <c r="E13" s="2234">
        <f>C13*9.80665</f>
        <v>117.6798</v>
      </c>
      <c r="F13" s="2232">
        <v>740</v>
      </c>
      <c r="G13" s="2233" t="s">
        <v>40</v>
      </c>
      <c r="H13" s="2235">
        <f>F13*0.3048</f>
        <v>225.55200000000002</v>
      </c>
      <c r="I13" s="2220">
        <f t="shared" si="0"/>
        <v>2654291.4249600004</v>
      </c>
      <c r="J13" s="2221">
        <f t="shared" si="1"/>
        <v>26542.914249600002</v>
      </c>
      <c r="K13" s="2222">
        <v>2654291</v>
      </c>
      <c r="L13" s="2223">
        <v>26542.9</v>
      </c>
      <c r="M13" s="2224">
        <f t="shared" si="2"/>
        <v>1.6010299262707462E-7</v>
      </c>
      <c r="N13" s="2225">
        <f t="shared" si="3"/>
        <v>5.3685137459921324E-7</v>
      </c>
      <c r="O13" s="2142"/>
      <c r="P13" s="2142"/>
      <c r="Q13" s="2142"/>
      <c r="R13" s="2142"/>
      <c r="S13" s="2142"/>
      <c r="T13" s="2142"/>
      <c r="U13" s="2143"/>
    </row>
    <row r="14" spans="3:38" ht="15.75" thickBot="1" x14ac:dyDescent="0.3">
      <c r="C14" s="2226">
        <v>840</v>
      </c>
      <c r="D14" s="2236" t="s">
        <v>85</v>
      </c>
      <c r="E14" s="2237">
        <f>C14</f>
        <v>840</v>
      </c>
      <c r="F14" s="2226">
        <v>852</v>
      </c>
      <c r="G14" s="2236" t="s">
        <v>40</v>
      </c>
      <c r="H14" s="2238">
        <f>F14*0.3048</f>
        <v>259.68960000000004</v>
      </c>
      <c r="I14" s="2226">
        <f t="shared" si="0"/>
        <v>21813926.400000002</v>
      </c>
      <c r="J14" s="2227">
        <f t="shared" si="1"/>
        <v>218139.26400000002</v>
      </c>
      <c r="K14" s="2228">
        <v>21813926</v>
      </c>
      <c r="L14" s="2229">
        <v>218139</v>
      </c>
      <c r="M14" s="2230">
        <f t="shared" si="2"/>
        <v>1.8336909866679213E-8</v>
      </c>
      <c r="N14" s="2231">
        <f t="shared" si="3"/>
        <v>1.210236044551246E-6</v>
      </c>
      <c r="O14" s="2142"/>
      <c r="P14" s="2142"/>
      <c r="Q14" s="2142"/>
      <c r="R14" s="2142"/>
      <c r="S14" s="2142"/>
      <c r="T14" s="2142"/>
      <c r="U14" s="2143"/>
    </row>
    <row r="15" spans="3:38" ht="15.75" thickTop="1" x14ac:dyDescent="0.25">
      <c r="C15" s="1967">
        <v>1158</v>
      </c>
      <c r="D15" s="1927" t="s">
        <v>84</v>
      </c>
      <c r="E15" s="1928">
        <f>C15*9.80665</f>
        <v>11356.100699999999</v>
      </c>
      <c r="F15" s="1967">
        <v>123</v>
      </c>
      <c r="G15" s="1927" t="s">
        <v>41</v>
      </c>
      <c r="H15" s="1968">
        <f>F15*2.54/100</f>
        <v>3.1242000000000001</v>
      </c>
      <c r="I15" s="1984">
        <f t="shared" si="0"/>
        <v>3547872.9806939997</v>
      </c>
      <c r="J15" s="2215">
        <f t="shared" si="1"/>
        <v>35478.729806939999</v>
      </c>
      <c r="K15" s="2154">
        <v>3547873</v>
      </c>
      <c r="L15" s="2155">
        <v>35478.699999999997</v>
      </c>
      <c r="M15" s="2216">
        <f t="shared" si="2"/>
        <v>-5.441570323165023E-9</v>
      </c>
      <c r="N15" s="2217">
        <f t="shared" si="3"/>
        <v>8.4013548860492287E-7</v>
      </c>
      <c r="O15" s="2142"/>
      <c r="P15" s="2142"/>
      <c r="Q15" s="2142"/>
      <c r="R15" s="2142"/>
      <c r="S15" s="2142"/>
      <c r="T15" s="2142"/>
      <c r="U15" s="2143"/>
    </row>
    <row r="16" spans="3:38" ht="15.75" thickBot="1" x14ac:dyDescent="0.3">
      <c r="C16" s="1971">
        <v>452</v>
      </c>
      <c r="D16" s="1972" t="s">
        <v>85</v>
      </c>
      <c r="E16" s="1973">
        <f>C16</f>
        <v>452</v>
      </c>
      <c r="F16" s="1971">
        <v>640</v>
      </c>
      <c r="G16" s="1972" t="s">
        <v>41</v>
      </c>
      <c r="H16" s="1974">
        <f>F16*2.54/100</f>
        <v>16.256</v>
      </c>
      <c r="I16" s="1990">
        <f t="shared" si="0"/>
        <v>734771.20000000007</v>
      </c>
      <c r="J16" s="2218">
        <f t="shared" si="1"/>
        <v>7347.7120000000004</v>
      </c>
      <c r="K16" s="2004">
        <v>734771</v>
      </c>
      <c r="L16" s="2003">
        <v>7347.71</v>
      </c>
      <c r="M16" s="2219">
        <f t="shared" si="2"/>
        <v>2.7219357545566455E-7</v>
      </c>
      <c r="N16" s="2005">
        <f t="shared" si="3"/>
        <v>2.7219357541605517E-7</v>
      </c>
      <c r="O16" s="2142"/>
      <c r="P16" s="2142"/>
      <c r="Q16" s="2142"/>
      <c r="R16" s="2142"/>
      <c r="S16" s="2142"/>
      <c r="T16" s="2142"/>
      <c r="U16" s="2143"/>
    </row>
    <row r="17" spans="3:32" ht="15.75" thickTop="1" x14ac:dyDescent="0.25">
      <c r="C17" s="420">
        <v>2458</v>
      </c>
      <c r="D17" s="383" t="s">
        <v>84</v>
      </c>
      <c r="E17" s="384">
        <f>C17*9.80665</f>
        <v>24104.745699999999</v>
      </c>
      <c r="F17" s="420">
        <v>80</v>
      </c>
      <c r="G17" s="383" t="s">
        <v>42</v>
      </c>
      <c r="H17" s="390">
        <f>F17</f>
        <v>80</v>
      </c>
      <c r="I17" s="406">
        <f t="shared" si="0"/>
        <v>192837965.59999999</v>
      </c>
      <c r="J17" s="2340">
        <f t="shared" si="1"/>
        <v>1928379.656</v>
      </c>
      <c r="K17" s="858">
        <v>192837966</v>
      </c>
      <c r="L17" s="857">
        <v>1928380</v>
      </c>
      <c r="M17" s="2341">
        <f t="shared" si="2"/>
        <v>-2.0742803665030185E-9</v>
      </c>
      <c r="N17" s="2342">
        <f t="shared" si="3"/>
        <v>-1.7838810888231969E-7</v>
      </c>
      <c r="O17" s="2142"/>
      <c r="P17" s="2142"/>
      <c r="Q17" s="2142"/>
      <c r="R17" s="2142"/>
      <c r="S17" s="2142"/>
      <c r="T17" s="2142"/>
      <c r="U17" s="2143"/>
    </row>
    <row r="18" spans="3:32" ht="15.75" thickBot="1" x14ac:dyDescent="0.3">
      <c r="C18" s="422">
        <v>68</v>
      </c>
      <c r="D18" s="228" t="s">
        <v>85</v>
      </c>
      <c r="E18" s="229">
        <f>C18</f>
        <v>68</v>
      </c>
      <c r="F18" s="422">
        <v>740</v>
      </c>
      <c r="G18" s="228" t="s">
        <v>42</v>
      </c>
      <c r="H18" s="230">
        <f>F18</f>
        <v>740</v>
      </c>
      <c r="I18" s="422">
        <f t="shared" si="0"/>
        <v>5032000</v>
      </c>
      <c r="J18" s="871">
        <f t="shared" si="1"/>
        <v>50320</v>
      </c>
      <c r="K18" s="2151">
        <v>5032000</v>
      </c>
      <c r="L18" s="872">
        <v>50320</v>
      </c>
      <c r="M18" s="752">
        <f t="shared" si="2"/>
        <v>0</v>
      </c>
      <c r="N18" s="873">
        <f t="shared" si="3"/>
        <v>0</v>
      </c>
      <c r="O18" s="2142"/>
      <c r="P18" s="2142"/>
      <c r="Q18" s="2142"/>
      <c r="R18" s="2142"/>
      <c r="S18" s="2142"/>
      <c r="T18" s="2142"/>
      <c r="U18" s="2143"/>
    </row>
    <row r="19" spans="3:32" ht="15.75" thickTop="1" x14ac:dyDescent="0.25">
      <c r="C19" s="2343">
        <v>59</v>
      </c>
      <c r="D19" s="2344" t="s">
        <v>84</v>
      </c>
      <c r="E19" s="2345">
        <f>C19*9.80665</f>
        <v>578.59235000000001</v>
      </c>
      <c r="F19" s="2343">
        <v>16</v>
      </c>
      <c r="G19" s="2344" t="s">
        <v>46</v>
      </c>
      <c r="H19" s="2346">
        <f>F19*63360*2.54/100</f>
        <v>25749.504000000001</v>
      </c>
      <c r="I19" s="2347">
        <f t="shared" si="0"/>
        <v>1489846603.0694401</v>
      </c>
      <c r="J19" s="2348">
        <f t="shared" si="1"/>
        <v>14898466.030694401</v>
      </c>
      <c r="K19" s="2349">
        <v>1489846603</v>
      </c>
      <c r="L19" s="2350">
        <v>14898466</v>
      </c>
      <c r="M19" s="2351">
        <f t="shared" si="2"/>
        <v>4.6608910122695938E-11</v>
      </c>
      <c r="N19" s="2352">
        <f t="shared" si="3"/>
        <v>2.0602390090646811E-9</v>
      </c>
      <c r="O19" s="2142"/>
      <c r="P19" s="2142"/>
      <c r="Q19" s="2142"/>
      <c r="R19" s="2142"/>
      <c r="S19" s="2142"/>
      <c r="T19" s="2142"/>
      <c r="U19" s="2143"/>
    </row>
    <row r="20" spans="3:32" ht="15.75" thickBot="1" x14ac:dyDescent="0.3">
      <c r="C20" s="2353">
        <v>684</v>
      </c>
      <c r="D20" s="2354" t="s">
        <v>85</v>
      </c>
      <c r="E20" s="2355">
        <f>C20</f>
        <v>684</v>
      </c>
      <c r="F20" s="2353">
        <v>560</v>
      </c>
      <c r="G20" s="2354" t="s">
        <v>46</v>
      </c>
      <c r="H20" s="2356">
        <f>F20*63360*2.54/100</f>
        <v>901232.64000000001</v>
      </c>
      <c r="I20" s="2357">
        <f t="shared" si="0"/>
        <v>61644312576</v>
      </c>
      <c r="J20" s="2358">
        <f t="shared" si="1"/>
        <v>616443125.75999999</v>
      </c>
      <c r="K20" s="2359">
        <v>61644312576</v>
      </c>
      <c r="L20" s="2360">
        <v>616443126</v>
      </c>
      <c r="M20" s="2361">
        <f t="shared" si="2"/>
        <v>0</v>
      </c>
      <c r="N20" s="2362">
        <f t="shared" si="3"/>
        <v>-3.8933033642130752E-10</v>
      </c>
      <c r="O20" s="2142"/>
      <c r="P20" s="2142"/>
      <c r="Q20" s="2142"/>
      <c r="R20" s="2142"/>
      <c r="S20" s="2142"/>
      <c r="T20" s="2142"/>
      <c r="U20" s="2143"/>
    </row>
    <row r="21" spans="3:32" ht="15.75" thickTop="1" x14ac:dyDescent="0.25">
      <c r="C21" s="1835">
        <v>485</v>
      </c>
      <c r="D21" s="1785" t="s">
        <v>84</v>
      </c>
      <c r="E21" s="1786">
        <f>C21*9.80665</f>
        <v>4756.2252499999995</v>
      </c>
      <c r="F21" s="1835">
        <v>1254</v>
      </c>
      <c r="G21" s="1785" t="s">
        <v>43</v>
      </c>
      <c r="H21" s="1837">
        <f>F21/1000</f>
        <v>1.254</v>
      </c>
      <c r="I21" s="1871">
        <f t="shared" si="0"/>
        <v>596430.64634999994</v>
      </c>
      <c r="J21" s="2334">
        <f t="shared" si="1"/>
        <v>5964.3064634999992</v>
      </c>
      <c r="K21" s="1902">
        <v>596431</v>
      </c>
      <c r="L21" s="1901">
        <v>5964.31</v>
      </c>
      <c r="M21" s="2335">
        <f t="shared" si="2"/>
        <v>-5.9294404509060179E-7</v>
      </c>
      <c r="N21" s="2336">
        <f t="shared" si="3"/>
        <v>-5.9294404519429472E-7</v>
      </c>
      <c r="O21" s="2142"/>
      <c r="P21" s="2142"/>
      <c r="Q21" s="2142"/>
      <c r="R21" s="2142"/>
      <c r="S21" s="2142"/>
      <c r="T21" s="2142"/>
      <c r="U21" s="2143"/>
    </row>
    <row r="22" spans="3:32" ht="15.75" thickBot="1" x14ac:dyDescent="0.3">
      <c r="C22" s="1867">
        <v>951</v>
      </c>
      <c r="D22" s="1813" t="s">
        <v>85</v>
      </c>
      <c r="E22" s="1868">
        <f>C22</f>
        <v>951</v>
      </c>
      <c r="F22" s="1867">
        <v>560</v>
      </c>
      <c r="G22" s="1813" t="s">
        <v>43</v>
      </c>
      <c r="H22" s="1816">
        <f>F22/1000</f>
        <v>0.56000000000000005</v>
      </c>
      <c r="I22" s="1867">
        <f t="shared" si="0"/>
        <v>53256.000000000007</v>
      </c>
      <c r="J22" s="2337">
        <f t="shared" si="1"/>
        <v>532.56000000000006</v>
      </c>
      <c r="K22" s="2152">
        <v>53256</v>
      </c>
      <c r="L22" s="2153">
        <v>532.55999999999995</v>
      </c>
      <c r="M22" s="2338">
        <f t="shared" si="2"/>
        <v>1.3662230761197658E-16</v>
      </c>
      <c r="N22" s="2339">
        <f t="shared" si="3"/>
        <v>2.1347235564371342E-16</v>
      </c>
      <c r="O22" s="2142"/>
      <c r="P22" s="2142"/>
      <c r="Q22" s="2142"/>
      <c r="R22" s="2142"/>
      <c r="S22" s="2142"/>
      <c r="T22" s="2142"/>
      <c r="U22" s="2143"/>
    </row>
    <row r="23" spans="3:32" ht="15.75" thickTop="1" x14ac:dyDescent="0.25">
      <c r="C23" s="1967">
        <v>640</v>
      </c>
      <c r="D23" s="1927" t="s">
        <v>84</v>
      </c>
      <c r="E23" s="1928">
        <f>C23*9.80665</f>
        <v>6276.2559999999994</v>
      </c>
      <c r="F23" s="1967">
        <v>1689</v>
      </c>
      <c r="G23" s="1927" t="s">
        <v>44</v>
      </c>
      <c r="H23" s="1968">
        <f>F23*0.9144</f>
        <v>1544.4215999999999</v>
      </c>
      <c r="I23" s="1984">
        <f t="shared" si="0"/>
        <v>969318533.35295987</v>
      </c>
      <c r="J23" s="2215">
        <f t="shared" si="1"/>
        <v>9693185.333529599</v>
      </c>
      <c r="K23" s="2154">
        <v>969318533</v>
      </c>
      <c r="L23" s="2155">
        <v>9693185</v>
      </c>
      <c r="M23" s="2216">
        <f t="shared" si="2"/>
        <v>3.6413197431724985E-10</v>
      </c>
      <c r="N23" s="2217">
        <f t="shared" si="3"/>
        <v>3.4408668310223627E-8</v>
      </c>
      <c r="O23" s="2142"/>
      <c r="P23" s="2142"/>
      <c r="Q23" s="2142"/>
      <c r="R23" s="2142"/>
      <c r="S23" s="2142"/>
      <c r="T23" s="2142"/>
      <c r="U23" s="2143"/>
    </row>
    <row r="24" spans="3:32" ht="15.75" thickBot="1" x14ac:dyDescent="0.3">
      <c r="C24" s="1971">
        <v>980</v>
      </c>
      <c r="D24" s="1972" t="s">
        <v>85</v>
      </c>
      <c r="E24" s="1973">
        <f>C24</f>
        <v>980</v>
      </c>
      <c r="F24" s="1971">
        <v>12548</v>
      </c>
      <c r="G24" s="1972" t="s">
        <v>44</v>
      </c>
      <c r="H24" s="1974">
        <f>F24*0.9144</f>
        <v>11473.8912</v>
      </c>
      <c r="I24" s="1990">
        <f t="shared" si="0"/>
        <v>1124441337.5999999</v>
      </c>
      <c r="J24" s="2218">
        <f t="shared" si="1"/>
        <v>11244413.376</v>
      </c>
      <c r="K24" s="2004">
        <v>1124441338</v>
      </c>
      <c r="L24" s="2003">
        <v>11244413</v>
      </c>
      <c r="M24" s="2219">
        <f t="shared" si="2"/>
        <v>-3.557322929991076E-10</v>
      </c>
      <c r="N24" s="2005">
        <f t="shared" si="3"/>
        <v>3.3438827584055621E-8</v>
      </c>
      <c r="O24" s="2142"/>
      <c r="P24" s="2142"/>
      <c r="Q24" s="2142"/>
      <c r="R24" s="2142"/>
      <c r="S24" s="2142"/>
      <c r="T24" s="2142"/>
      <c r="U24" s="2143"/>
    </row>
    <row r="25" spans="3:32" ht="15.75" thickTop="1" x14ac:dyDescent="0.25">
      <c r="C25" s="2012">
        <v>350</v>
      </c>
      <c r="D25" s="2013" t="s">
        <v>84</v>
      </c>
      <c r="E25" s="2014">
        <f>C25*9.80665</f>
        <v>3432.3274999999999</v>
      </c>
      <c r="F25" s="2012">
        <v>640</v>
      </c>
      <c r="G25" s="2013" t="s">
        <v>156</v>
      </c>
      <c r="H25" s="2015">
        <f>F25/1000000</f>
        <v>6.4000000000000005E-4</v>
      </c>
      <c r="I25" s="2370">
        <f t="shared" si="0"/>
        <v>219.66896</v>
      </c>
      <c r="J25" s="2371">
        <f t="shared" si="1"/>
        <v>2.1966896</v>
      </c>
      <c r="K25" s="2027">
        <v>219.66900000000001</v>
      </c>
      <c r="L25" s="2026">
        <v>2.1966899999999998</v>
      </c>
      <c r="M25" s="2372">
        <f t="shared" si="2"/>
        <v>-1.820921809467143E-7</v>
      </c>
      <c r="N25" s="2373">
        <f t="shared" si="3"/>
        <v>-1.8209218079307047E-7</v>
      </c>
      <c r="O25" s="2142"/>
      <c r="P25" s="2142"/>
      <c r="Q25" s="2142"/>
      <c r="R25" s="2142"/>
      <c r="S25" s="2142"/>
      <c r="T25" s="2142"/>
      <c r="U25" s="2143"/>
    </row>
    <row r="26" spans="3:32" ht="15.75" thickBot="1" x14ac:dyDescent="0.3">
      <c r="C26" s="2016">
        <v>840</v>
      </c>
      <c r="D26" s="2017" t="s">
        <v>85</v>
      </c>
      <c r="E26" s="2018">
        <f>C26</f>
        <v>840</v>
      </c>
      <c r="F26" s="2016">
        <v>980</v>
      </c>
      <c r="G26" s="2017" t="s">
        <v>156</v>
      </c>
      <c r="H26" s="2019">
        <f>F26/1000000</f>
        <v>9.7999999999999997E-4</v>
      </c>
      <c r="I26" s="2053">
        <f t="shared" si="0"/>
        <v>82.32</v>
      </c>
      <c r="J26" s="2374">
        <f t="shared" si="1"/>
        <v>0.82319999999999993</v>
      </c>
      <c r="K26" s="2156">
        <v>82.32</v>
      </c>
      <c r="L26" s="2157">
        <v>0.82320000000000004</v>
      </c>
      <c r="M26" s="2375">
        <f t="shared" si="2"/>
        <v>0</v>
      </c>
      <c r="N26" s="2376">
        <f t="shared" si="3"/>
        <v>-1.348667425443582E-16</v>
      </c>
      <c r="O26" s="2142"/>
      <c r="P26" s="2142"/>
      <c r="Q26" s="2142"/>
      <c r="R26" s="2142"/>
      <c r="S26" s="2142"/>
      <c r="T26" s="2142"/>
      <c r="U26" s="2143"/>
    </row>
    <row r="27" spans="3:32" ht="15.75" thickTop="1" x14ac:dyDescent="0.25">
      <c r="O27" s="2143"/>
      <c r="P27" s="2143"/>
      <c r="Q27" s="2143"/>
      <c r="R27" s="2143"/>
      <c r="S27" s="2143"/>
      <c r="T27" s="2143"/>
      <c r="U27" s="2143"/>
    </row>
    <row r="28" spans="3:32" ht="15.75" thickBot="1" x14ac:dyDescent="0.3"/>
    <row r="29" spans="3:32" ht="15.75" thickTop="1" x14ac:dyDescent="0.25">
      <c r="C29" s="2488" t="s">
        <v>0</v>
      </c>
      <c r="D29" s="2489"/>
      <c r="E29" s="2489"/>
      <c r="F29" s="2489"/>
      <c r="G29" s="2489"/>
      <c r="H29" s="2489"/>
      <c r="I29" s="2506" t="s">
        <v>158</v>
      </c>
      <c r="J29" s="2519"/>
      <c r="K29" s="2519"/>
      <c r="L29" s="2519"/>
      <c r="M29" s="2519"/>
      <c r="N29" s="2519"/>
      <c r="O29" s="2519"/>
      <c r="P29" s="2522"/>
      <c r="Q29" s="2509" t="s">
        <v>17</v>
      </c>
      <c r="R29" s="2516"/>
      <c r="S29" s="2516"/>
      <c r="T29" s="2516"/>
      <c r="U29" s="2516"/>
      <c r="V29" s="2516"/>
      <c r="W29" s="2516"/>
      <c r="X29" s="2523"/>
      <c r="Y29" s="2484" t="s">
        <v>8</v>
      </c>
      <c r="Z29" s="2484"/>
      <c r="AA29" s="2484"/>
      <c r="AB29" s="2484"/>
      <c r="AC29" s="2484"/>
      <c r="AD29" s="2484"/>
      <c r="AE29" s="2484"/>
      <c r="AF29" s="2485"/>
    </row>
    <row r="30" spans="3:32" ht="15.75" thickBot="1" x14ac:dyDescent="0.3">
      <c r="C30" s="2486" t="s">
        <v>139</v>
      </c>
      <c r="D30" s="2487"/>
      <c r="E30" s="2487"/>
      <c r="F30" s="2486" t="s">
        <v>141</v>
      </c>
      <c r="G30" s="2487"/>
      <c r="H30" s="2496"/>
      <c r="I30" s="2480" t="s">
        <v>140</v>
      </c>
      <c r="J30" s="2481"/>
      <c r="K30" s="2481"/>
      <c r="L30" s="2481"/>
      <c r="M30" s="2481"/>
      <c r="N30" s="2481"/>
      <c r="O30" s="2481"/>
      <c r="P30" s="2482"/>
      <c r="Q30" s="2486" t="s">
        <v>140</v>
      </c>
      <c r="R30" s="2487"/>
      <c r="S30" s="2487"/>
      <c r="T30" s="2487"/>
      <c r="U30" s="2487"/>
      <c r="V30" s="2487"/>
      <c r="W30" s="2487"/>
      <c r="X30" s="2496"/>
      <c r="Y30" s="2480" t="s">
        <v>140</v>
      </c>
      <c r="Z30" s="2481"/>
      <c r="AA30" s="2481"/>
      <c r="AB30" s="2481"/>
      <c r="AC30" s="2481"/>
      <c r="AD30" s="2481"/>
      <c r="AE30" s="2481"/>
      <c r="AF30" s="2482"/>
    </row>
    <row r="31" spans="3:32" ht="15.75" thickBot="1" x14ac:dyDescent="0.3">
      <c r="C31" s="82" t="s">
        <v>3</v>
      </c>
      <c r="D31" s="66" t="s">
        <v>4</v>
      </c>
      <c r="E31" s="84" t="s">
        <v>85</v>
      </c>
      <c r="F31" s="82" t="s">
        <v>3</v>
      </c>
      <c r="G31" s="66" t="s">
        <v>4</v>
      </c>
      <c r="H31" s="85" t="s">
        <v>83</v>
      </c>
      <c r="I31" s="86" t="s">
        <v>39</v>
      </c>
      <c r="J31" s="87" t="s">
        <v>40</v>
      </c>
      <c r="K31" s="87" t="s">
        <v>41</v>
      </c>
      <c r="L31" s="87" t="s">
        <v>42</v>
      </c>
      <c r="M31" s="87" t="s">
        <v>46</v>
      </c>
      <c r="N31" s="87" t="s">
        <v>43</v>
      </c>
      <c r="O31" s="87" t="s">
        <v>44</v>
      </c>
      <c r="P31" s="88" t="s">
        <v>156</v>
      </c>
      <c r="Q31" s="82" t="s">
        <v>39</v>
      </c>
      <c r="R31" s="83" t="s">
        <v>40</v>
      </c>
      <c r="S31" s="83" t="s">
        <v>41</v>
      </c>
      <c r="T31" s="83" t="s">
        <v>42</v>
      </c>
      <c r="U31" s="83" t="s">
        <v>46</v>
      </c>
      <c r="V31" s="83" t="s">
        <v>43</v>
      </c>
      <c r="W31" s="83" t="s">
        <v>44</v>
      </c>
      <c r="X31" s="85" t="s">
        <v>156</v>
      </c>
      <c r="Y31" s="89" t="s">
        <v>39</v>
      </c>
      <c r="Z31" s="87" t="s">
        <v>40</v>
      </c>
      <c r="AA31" s="87" t="s">
        <v>41</v>
      </c>
      <c r="AB31" s="87" t="s">
        <v>42</v>
      </c>
      <c r="AC31" s="87" t="s">
        <v>46</v>
      </c>
      <c r="AD31" s="87" t="s">
        <v>43</v>
      </c>
      <c r="AE31" s="87" t="s">
        <v>44</v>
      </c>
      <c r="AF31" s="88" t="s">
        <v>156</v>
      </c>
    </row>
    <row r="32" spans="3:32" ht="15.75" thickTop="1" x14ac:dyDescent="0.25">
      <c r="C32" s="968">
        <v>3954</v>
      </c>
      <c r="D32" s="964" t="s">
        <v>84</v>
      </c>
      <c r="E32" s="965">
        <f>C32*9.80665</f>
        <v>38775.494099999996</v>
      </c>
      <c r="F32" s="968">
        <v>2308</v>
      </c>
      <c r="G32" s="964" t="s">
        <v>82</v>
      </c>
      <c r="H32" s="967">
        <f>F32/100</f>
        <v>23.08</v>
      </c>
      <c r="I32" s="1101">
        <f>L32*100</f>
        <v>5.9522129983638296E-2</v>
      </c>
      <c r="J32" s="1102">
        <f>L32/0.3048</f>
        <v>1.9528257868647735E-3</v>
      </c>
      <c r="K32" s="1102">
        <f>L32*100/2.54</f>
        <v>2.343390944237728E-2</v>
      </c>
      <c r="L32" s="1102">
        <f>H32/E32</f>
        <v>5.9522129983638299E-4</v>
      </c>
      <c r="M32" s="1102">
        <f>L32/63360/2.54*100</f>
        <v>3.6985336872438891E-7</v>
      </c>
      <c r="N32" s="1102">
        <f>L32*1000</f>
        <v>0.59522129983638294</v>
      </c>
      <c r="O32" s="1102">
        <f>L32/0.9144</f>
        <v>6.5094192895492453E-4</v>
      </c>
      <c r="P32" s="970">
        <f>L32*1000000</f>
        <v>595.22129983638297</v>
      </c>
      <c r="Q32" s="1101">
        <v>5.9522100000000001E-2</v>
      </c>
      <c r="R32" s="1102">
        <v>1.95283E-3</v>
      </c>
      <c r="S32" s="1102">
        <v>2.3433900000000001E-2</v>
      </c>
      <c r="T32" s="1102">
        <v>5.9522100000000005E-4</v>
      </c>
      <c r="U32" s="1102">
        <v>3.6985336872438902E-7</v>
      </c>
      <c r="V32" s="1102">
        <v>0.595221</v>
      </c>
      <c r="W32" s="1102">
        <v>6.5094199999999995E-4</v>
      </c>
      <c r="X32" s="1103">
        <v>595.221</v>
      </c>
      <c r="Y32" s="1104">
        <f t="shared" ref="Y32:AB35" si="4" xml:space="preserve"> (I32-Q32)/I32</f>
        <v>5.0373933699399783E-7</v>
      </c>
      <c r="Z32" s="886">
        <f t="shared" si="4"/>
        <v>-2.1574557520099074E-6</v>
      </c>
      <c r="AA32" s="886">
        <f t="shared" si="4"/>
        <v>4.0293649263223028E-7</v>
      </c>
      <c r="AB32" s="886">
        <f t="shared" si="4"/>
        <v>5.0373933697942579E-7</v>
      </c>
      <c r="AC32" s="886">
        <f t="shared" ref="AC32:AD32" si="5" xml:space="preserve"> (M32-U32)/M32</f>
        <v>-2.8627322977200626E-16</v>
      </c>
      <c r="AD32" s="886">
        <f t="shared" si="5"/>
        <v>5.0373933699399783E-7</v>
      </c>
      <c r="AE32" s="886">
        <f t="shared" ref="AE32:AF35" si="6" xml:space="preserve"> (O32-W32)/O32</f>
        <v>-1.0914195608152123E-7</v>
      </c>
      <c r="AF32" s="887">
        <f t="shared" si="6"/>
        <v>5.0373933702831802E-7</v>
      </c>
    </row>
    <row r="33" spans="3:32" ht="15.75" thickBot="1" x14ac:dyDescent="0.3">
      <c r="C33" s="1072">
        <v>455</v>
      </c>
      <c r="D33" s="60" t="s">
        <v>85</v>
      </c>
      <c r="E33" s="55">
        <f>C33</f>
        <v>455</v>
      </c>
      <c r="F33" s="1072">
        <v>12987</v>
      </c>
      <c r="G33" s="60" t="s">
        <v>82</v>
      </c>
      <c r="H33" s="905">
        <f>F33/100</f>
        <v>129.87</v>
      </c>
      <c r="I33" s="931">
        <f t="shared" ref="I33:I35" si="7">L33*100</f>
        <v>28.542857142857141</v>
      </c>
      <c r="J33" s="1105">
        <f t="shared" ref="J33:J35" si="8">L33/0.3048</f>
        <v>0.93644544431945997</v>
      </c>
      <c r="K33" s="1105">
        <f t="shared" ref="K33:K35" si="9">L33*100/2.54</f>
        <v>11.23734533183352</v>
      </c>
      <c r="L33" s="1105">
        <f t="shared" ref="L33:L34" si="10">H33/E33</f>
        <v>0.28542857142857142</v>
      </c>
      <c r="M33" s="1105">
        <f t="shared" ref="M33:M35" si="11">L33/63360/2.54*100</f>
        <v>1.7735709172717049E-4</v>
      </c>
      <c r="N33" s="1105">
        <f t="shared" ref="N33:N35" si="12">L33*1000</f>
        <v>285.42857142857144</v>
      </c>
      <c r="O33" s="1105">
        <f t="shared" ref="O33:O35" si="13">L33/0.9144</f>
        <v>0.31214848143981999</v>
      </c>
      <c r="P33" s="1026">
        <f t="shared" ref="P33:P35" si="14">L33*1000000</f>
        <v>285428.57142857142</v>
      </c>
      <c r="Q33" s="931">
        <v>28.542899999999999</v>
      </c>
      <c r="R33" s="1105">
        <v>0.93644499999999997</v>
      </c>
      <c r="S33" s="1105">
        <v>11.237299999999999</v>
      </c>
      <c r="T33" s="1105">
        <v>0.28542899999999999</v>
      </c>
      <c r="U33" s="1105">
        <v>1.77357E-4</v>
      </c>
      <c r="V33" s="1105">
        <v>285.42899999999997</v>
      </c>
      <c r="W33" s="1105">
        <v>0.31214799999999998</v>
      </c>
      <c r="X33" s="1106">
        <v>285429</v>
      </c>
      <c r="Y33" s="1107">
        <f t="shared" si="4"/>
        <v>-1.5015015015513462E-6</v>
      </c>
      <c r="Z33" s="946">
        <f t="shared" si="4"/>
        <v>4.7447447440490162E-7</v>
      </c>
      <c r="AA33" s="946">
        <f t="shared" si="4"/>
        <v>4.0340340340273001E-6</v>
      </c>
      <c r="AB33" s="946">
        <f t="shared" si="4"/>
        <v>-1.5015015014891115E-6</v>
      </c>
      <c r="AC33" s="946">
        <f t="shared" ref="AC33:AD35" si="15" xml:space="preserve"> (M33-U33)/M33</f>
        <v>5.1718918927589511E-7</v>
      </c>
      <c r="AD33" s="946">
        <f t="shared" si="15"/>
        <v>-1.501501501352195E-6</v>
      </c>
      <c r="AE33" s="946">
        <f t="shared" si="6"/>
        <v>1.5423423423034768E-6</v>
      </c>
      <c r="AF33" s="947">
        <f t="shared" si="6"/>
        <v>-1.5015015015306346E-6</v>
      </c>
    </row>
    <row r="34" spans="3:32" ht="15.75" thickTop="1" x14ac:dyDescent="0.25">
      <c r="C34" s="1485">
        <v>333</v>
      </c>
      <c r="D34" s="1486" t="s">
        <v>84</v>
      </c>
      <c r="E34" s="1487">
        <f>C34*9.80665</f>
        <v>3265.61445</v>
      </c>
      <c r="F34" s="1485">
        <v>329</v>
      </c>
      <c r="G34" s="1486" t="s">
        <v>83</v>
      </c>
      <c r="H34" s="1488">
        <f>F34</f>
        <v>329</v>
      </c>
      <c r="I34" s="1489">
        <f t="shared" si="7"/>
        <v>10.07467369578794</v>
      </c>
      <c r="J34" s="1490">
        <f t="shared" si="8"/>
        <v>0.33053391390380377</v>
      </c>
      <c r="K34" s="1490">
        <f t="shared" si="9"/>
        <v>3.9664069668456454</v>
      </c>
      <c r="L34" s="1490">
        <f t="shared" si="10"/>
        <v>0.10074673695787939</v>
      </c>
      <c r="M34" s="1490">
        <f t="shared" si="11"/>
        <v>6.2601120057538597E-5</v>
      </c>
      <c r="N34" s="1490">
        <f t="shared" si="12"/>
        <v>100.74673695787939</v>
      </c>
      <c r="O34" s="1490">
        <f t="shared" si="13"/>
        <v>0.11017797130126793</v>
      </c>
      <c r="P34" s="1491">
        <f t="shared" si="14"/>
        <v>100746.73695787939</v>
      </c>
      <c r="Q34" s="1489">
        <v>10.0747</v>
      </c>
      <c r="R34" s="1490">
        <v>0.33053399999999999</v>
      </c>
      <c r="S34" s="1490">
        <v>3.9664100000000002</v>
      </c>
      <c r="T34" s="1490">
        <v>0.100747</v>
      </c>
      <c r="U34" s="1490">
        <v>6.2601120057538597E-5</v>
      </c>
      <c r="V34" s="1490">
        <v>100.747</v>
      </c>
      <c r="W34" s="1490">
        <v>0.110178</v>
      </c>
      <c r="X34" s="1492">
        <v>100747</v>
      </c>
      <c r="Y34" s="1426">
        <f t="shared" si="4"/>
        <v>-2.6109244680615404E-6</v>
      </c>
      <c r="Z34" s="1368">
        <f t="shared" si="4"/>
        <v>-2.6047613453958489E-7</v>
      </c>
      <c r="AA34" s="1368">
        <f t="shared" si="4"/>
        <v>-7.6471082774557392E-7</v>
      </c>
      <c r="AB34" s="1368">
        <f t="shared" si="4"/>
        <v>-2.6109244681827602E-6</v>
      </c>
      <c r="AC34" s="1368">
        <f t="shared" si="15"/>
        <v>0</v>
      </c>
      <c r="AD34" s="1368">
        <f t="shared" si="15"/>
        <v>-2.6109244681320682E-6</v>
      </c>
      <c r="AE34" s="1368">
        <f t="shared" si="6"/>
        <v>-2.6047613449759895E-7</v>
      </c>
      <c r="AF34" s="1369">
        <f t="shared" si="6"/>
        <v>-2.6109244681760775E-6</v>
      </c>
    </row>
    <row r="35" spans="3:32" ht="15.75" thickBot="1" x14ac:dyDescent="0.3">
      <c r="C35" s="1440">
        <v>2678</v>
      </c>
      <c r="D35" s="1348" t="s">
        <v>85</v>
      </c>
      <c r="E35" s="1351">
        <f>C35</f>
        <v>2678</v>
      </c>
      <c r="F35" s="1440">
        <v>4385</v>
      </c>
      <c r="G35" s="1348" t="s">
        <v>83</v>
      </c>
      <c r="H35" s="1375">
        <f>F35</f>
        <v>4385</v>
      </c>
      <c r="I35" s="1363">
        <f t="shared" si="7"/>
        <v>163.74159820761761</v>
      </c>
      <c r="J35" s="1364">
        <f t="shared" si="8"/>
        <v>5.3720996787276123</v>
      </c>
      <c r="K35" s="1364">
        <f t="shared" si="9"/>
        <v>64.465196144731337</v>
      </c>
      <c r="L35" s="1364">
        <f>H35/E35</f>
        <v>1.6374159820761762</v>
      </c>
      <c r="M35" s="1364">
        <f t="shared" si="11"/>
        <v>1.0174431209711387E-3</v>
      </c>
      <c r="N35" s="1364">
        <f t="shared" si="12"/>
        <v>1637.4159820761763</v>
      </c>
      <c r="O35" s="1364">
        <f t="shared" si="13"/>
        <v>1.7906998929092042</v>
      </c>
      <c r="P35" s="1380">
        <f t="shared" si="14"/>
        <v>1637415.9820761762</v>
      </c>
      <c r="Q35" s="1363">
        <v>163.74199999999999</v>
      </c>
      <c r="R35" s="1364">
        <v>5.3720999999999997</v>
      </c>
      <c r="S35" s="1364">
        <v>64.465199999999996</v>
      </c>
      <c r="T35" s="1364">
        <v>1.6374200000000001</v>
      </c>
      <c r="U35" s="1364">
        <v>1.0174400000000001E-3</v>
      </c>
      <c r="V35" s="1364">
        <v>1637.42</v>
      </c>
      <c r="W35" s="1364">
        <v>1.7907</v>
      </c>
      <c r="X35" s="1365">
        <v>1637416</v>
      </c>
      <c r="Y35" s="1493">
        <f t="shared" si="4"/>
        <v>-2.4538198403758193E-6</v>
      </c>
      <c r="Z35" s="1297">
        <f t="shared" si="4"/>
        <v>-5.9803876803032865E-8</v>
      </c>
      <c r="AA35" s="1297">
        <f t="shared" si="4"/>
        <v>-5.9803876968364578E-8</v>
      </c>
      <c r="AB35" s="1297">
        <f t="shared" si="4"/>
        <v>-2.4538198404409104E-6</v>
      </c>
      <c r="AC35" s="1297">
        <f t="shared" si="15"/>
        <v>3.0674649759930356E-6</v>
      </c>
      <c r="AD35" s="1297">
        <f t="shared" si="15"/>
        <v>-2.4538198403758189E-6</v>
      </c>
      <c r="AE35" s="1297">
        <f t="shared" si="6"/>
        <v>-5.9803876803032865E-8</v>
      </c>
      <c r="AF35" s="1298">
        <f t="shared" si="6"/>
        <v>-1.0946408235186556E-8</v>
      </c>
    </row>
    <row r="36" spans="3:32" ht="15.75" thickTop="1" x14ac:dyDescent="0.25"/>
    <row r="37" spans="3:32" ht="15.75" thickBot="1" x14ac:dyDescent="0.3"/>
    <row r="38" spans="3:32" ht="15.75" thickTop="1" x14ac:dyDescent="0.25">
      <c r="C38" s="2488" t="s">
        <v>0</v>
      </c>
      <c r="D38" s="2489"/>
      <c r="E38" s="2489"/>
      <c r="F38" s="2489"/>
      <c r="G38" s="2489"/>
      <c r="H38" s="2495"/>
      <c r="I38" s="2506" t="s">
        <v>158</v>
      </c>
      <c r="J38" s="2515"/>
      <c r="K38" s="2509" t="s">
        <v>17</v>
      </c>
      <c r="L38" s="2512"/>
      <c r="M38" s="2516" t="s">
        <v>8</v>
      </c>
      <c r="N38" s="2512"/>
      <c r="O38" s="2144"/>
      <c r="P38" s="2144"/>
      <c r="Q38" s="2140"/>
      <c r="R38" s="2144"/>
      <c r="S38" s="2144"/>
      <c r="T38" s="2144"/>
    </row>
    <row r="39" spans="3:32" ht="15.75" thickBot="1" x14ac:dyDescent="0.3">
      <c r="C39" s="2486" t="s">
        <v>140</v>
      </c>
      <c r="D39" s="2487"/>
      <c r="E39" s="2487"/>
      <c r="F39" s="2500" t="s">
        <v>141</v>
      </c>
      <c r="G39" s="2487"/>
      <c r="H39" s="2496"/>
      <c r="I39" s="2480" t="s">
        <v>139</v>
      </c>
      <c r="J39" s="2514"/>
      <c r="K39" s="2486" t="s">
        <v>139</v>
      </c>
      <c r="L39" s="2513"/>
      <c r="M39" s="2487" t="s">
        <v>139</v>
      </c>
      <c r="N39" s="2513"/>
      <c r="O39" s="2144"/>
      <c r="P39" s="2144"/>
      <c r="Q39" s="2140"/>
      <c r="R39" s="2144"/>
      <c r="S39" s="2144"/>
      <c r="T39" s="2144"/>
    </row>
    <row r="40" spans="3:32" ht="15.75" thickBot="1" x14ac:dyDescent="0.3">
      <c r="C40" s="82" t="s">
        <v>3</v>
      </c>
      <c r="D40" s="66" t="s">
        <v>4</v>
      </c>
      <c r="E40" s="84" t="s">
        <v>42</v>
      </c>
      <c r="F40" s="82" t="s">
        <v>3</v>
      </c>
      <c r="G40" s="66" t="s">
        <v>4</v>
      </c>
      <c r="H40" s="85" t="s">
        <v>83</v>
      </c>
      <c r="I40" s="2158" t="s">
        <v>84</v>
      </c>
      <c r="J40" s="808" t="s">
        <v>85</v>
      </c>
      <c r="K40" s="698" t="s">
        <v>84</v>
      </c>
      <c r="L40" s="699" t="s">
        <v>85</v>
      </c>
      <c r="M40" s="89" t="s">
        <v>84</v>
      </c>
      <c r="N40" s="697" t="s">
        <v>85</v>
      </c>
      <c r="O40" s="2140"/>
      <c r="P40" s="2140"/>
      <c r="Q40" s="2140"/>
      <c r="R40" s="2140"/>
      <c r="S40" s="2140"/>
      <c r="T40" s="2140"/>
    </row>
    <row r="41" spans="3:32" ht="15.75" thickTop="1" x14ac:dyDescent="0.25">
      <c r="C41" s="1108">
        <v>154</v>
      </c>
      <c r="D41" s="964" t="s">
        <v>39</v>
      </c>
      <c r="E41" s="965">
        <f>C41/100</f>
        <v>1.54</v>
      </c>
      <c r="F41" s="966">
        <v>59</v>
      </c>
      <c r="G41" s="964" t="s">
        <v>82</v>
      </c>
      <c r="H41" s="967">
        <f>F41/100</f>
        <v>0.59</v>
      </c>
      <c r="I41" s="968">
        <f>J41/9.80665</f>
        <v>3.9067049717985559E-2</v>
      </c>
      <c r="J41" s="1249">
        <f>H41/E41</f>
        <v>0.38311688311688308</v>
      </c>
      <c r="K41" s="2150">
        <v>3.9066999999999998E-2</v>
      </c>
      <c r="L41" s="1250">
        <v>0.38311699999999999</v>
      </c>
      <c r="M41" s="1104">
        <f>(I41-K41)/I41</f>
        <v>1.272632203372399E-6</v>
      </c>
      <c r="N41" s="2159">
        <f>(J41-L41)/J41</f>
        <v>-3.050847458260551E-7</v>
      </c>
      <c r="O41" s="2140"/>
      <c r="P41" s="2140"/>
      <c r="Q41" s="2140"/>
      <c r="R41" s="2141"/>
      <c r="S41" s="2141"/>
      <c r="T41" s="2140"/>
    </row>
    <row r="42" spans="3:32" x14ac:dyDescent="0.25">
      <c r="C42" s="71">
        <v>122</v>
      </c>
      <c r="D42" s="59" t="s">
        <v>40</v>
      </c>
      <c r="E42" s="32">
        <f>C42*0.3048</f>
        <v>37.185600000000001</v>
      </c>
      <c r="F42" s="1109">
        <v>1.3</v>
      </c>
      <c r="G42" s="59" t="s">
        <v>82</v>
      </c>
      <c r="H42" s="889">
        <f>F42/100</f>
        <v>1.3000000000000001E-2</v>
      </c>
      <c r="I42" s="1059">
        <f t="shared" ref="I42:I56" si="16">J42/9.80665</f>
        <v>3.5649043631709767E-5</v>
      </c>
      <c r="J42" s="1184">
        <f t="shared" ref="J42:J56" si="17">H42/E42</f>
        <v>3.4959769373090659E-4</v>
      </c>
      <c r="K42" s="1187">
        <v>3.5649043631709801E-5</v>
      </c>
      <c r="L42" s="1218">
        <v>3.4959800000000001E-4</v>
      </c>
      <c r="M42" s="1115">
        <f t="shared" ref="M42:M56" si="18">(I42-K42)/I42</f>
        <v>-9.5041309495423979E-16</v>
      </c>
      <c r="N42" s="1217">
        <f t="shared" ref="N42:N56" si="19">(J42-L42)/J42</f>
        <v>-8.7606153848208435E-7</v>
      </c>
      <c r="O42" s="2140"/>
      <c r="P42" s="2140"/>
      <c r="Q42" s="2140"/>
      <c r="R42" s="2141"/>
      <c r="S42" s="2141"/>
      <c r="T42" s="2140"/>
    </row>
    <row r="43" spans="3:32" x14ac:dyDescent="0.25">
      <c r="C43" s="71">
        <v>45</v>
      </c>
      <c r="D43" s="59" t="s">
        <v>41</v>
      </c>
      <c r="E43" s="32">
        <f>C43*2.54/100</f>
        <v>1.143</v>
      </c>
      <c r="F43" s="972">
        <v>64</v>
      </c>
      <c r="G43" s="59" t="s">
        <v>82</v>
      </c>
      <c r="H43" s="889">
        <f t="shared" ref="H43:H48" si="20">F43/100</f>
        <v>0.64</v>
      </c>
      <c r="I43" s="1059">
        <f t="shared" si="16"/>
        <v>5.7096970805413309E-2</v>
      </c>
      <c r="J43" s="1184">
        <f t="shared" si="17"/>
        <v>0.55993000874890642</v>
      </c>
      <c r="K43" s="1185">
        <v>5.7097000000000002E-2</v>
      </c>
      <c r="L43" s="1218">
        <v>0.55993000000000004</v>
      </c>
      <c r="M43" s="1115">
        <f t="shared" si="18"/>
        <v>-5.1131585933146645E-7</v>
      </c>
      <c r="N43" s="1217">
        <f t="shared" si="19"/>
        <v>1.5624999982928599E-8</v>
      </c>
      <c r="O43" s="2140"/>
      <c r="P43" s="2140"/>
      <c r="Q43" s="2140"/>
      <c r="R43" s="2141"/>
      <c r="S43" s="2141"/>
      <c r="T43" s="2140"/>
    </row>
    <row r="44" spans="3:32" x14ac:dyDescent="0.25">
      <c r="C44" s="71">
        <v>4896</v>
      </c>
      <c r="D44" s="59" t="s">
        <v>42</v>
      </c>
      <c r="E44" s="32">
        <f>C44</f>
        <v>4896</v>
      </c>
      <c r="F44" s="972">
        <v>16982</v>
      </c>
      <c r="G44" s="59" t="s">
        <v>82</v>
      </c>
      <c r="H44" s="889">
        <f t="shared" si="20"/>
        <v>169.82</v>
      </c>
      <c r="I44" s="1059">
        <f t="shared" si="16"/>
        <v>3.5369323383968912E-3</v>
      </c>
      <c r="J44" s="1184">
        <f t="shared" si="17"/>
        <v>3.468545751633987E-2</v>
      </c>
      <c r="K44" s="1185">
        <v>3.5369300000000002E-3</v>
      </c>
      <c r="L44" s="1218">
        <v>3.4685500000000001E-2</v>
      </c>
      <c r="M44" s="1115">
        <f t="shared" si="18"/>
        <v>6.6113701573159932E-7</v>
      </c>
      <c r="N44" s="1217">
        <f t="shared" si="19"/>
        <v>-1.2248262866786051E-6</v>
      </c>
      <c r="O44" s="2140"/>
      <c r="P44" s="2140"/>
      <c r="Q44" s="2140"/>
      <c r="R44" s="2141"/>
      <c r="S44" s="2141"/>
      <c r="T44" s="2140"/>
    </row>
    <row r="45" spans="3:32" x14ac:dyDescent="0.25">
      <c r="C45" s="71">
        <v>15489</v>
      </c>
      <c r="D45" s="59" t="s">
        <v>46</v>
      </c>
      <c r="E45" s="32">
        <f>C45*63360*2.54/100</f>
        <v>24927129.215999998</v>
      </c>
      <c r="F45" s="972">
        <v>896</v>
      </c>
      <c r="G45" s="59" t="s">
        <v>82</v>
      </c>
      <c r="H45" s="889">
        <f t="shared" si="20"/>
        <v>8.9600000000000009</v>
      </c>
      <c r="I45" s="1059">
        <f t="shared" si="16"/>
        <v>3.6653467750380516E-8</v>
      </c>
      <c r="J45" s="1184">
        <f t="shared" si="17"/>
        <v>3.5944772951426904E-7</v>
      </c>
      <c r="K45" s="1187">
        <v>3.6653467750380503E-8</v>
      </c>
      <c r="L45" s="2160">
        <v>3.5944772951426899E-7</v>
      </c>
      <c r="M45" s="1115">
        <f t="shared" si="18"/>
        <v>3.6108151869780577E-16</v>
      </c>
      <c r="N45" s="1217">
        <f t="shared" si="19"/>
        <v>1.4728027152913821E-16</v>
      </c>
      <c r="O45" s="2145"/>
      <c r="P45" s="2140"/>
      <c r="Q45" s="2140"/>
      <c r="R45" s="2141"/>
      <c r="S45" s="2141"/>
      <c r="T45" s="2140"/>
    </row>
    <row r="46" spans="3:32" x14ac:dyDescent="0.25">
      <c r="C46" s="71">
        <v>56</v>
      </c>
      <c r="D46" s="59" t="s">
        <v>43</v>
      </c>
      <c r="E46" s="32">
        <f>C46/1000</f>
        <v>5.6000000000000001E-2</v>
      </c>
      <c r="F46" s="972">
        <v>1024</v>
      </c>
      <c r="G46" s="59" t="s">
        <v>82</v>
      </c>
      <c r="H46" s="889">
        <f t="shared" si="20"/>
        <v>10.24</v>
      </c>
      <c r="I46" s="1059">
        <f t="shared" si="16"/>
        <v>18.646239323024975</v>
      </c>
      <c r="J46" s="1184">
        <f t="shared" si="17"/>
        <v>182.85714285714286</v>
      </c>
      <c r="K46" s="1185">
        <v>18.6462</v>
      </c>
      <c r="L46" s="1218">
        <v>182.857</v>
      </c>
      <c r="M46" s="1115">
        <f t="shared" si="18"/>
        <v>2.1088984375703958E-6</v>
      </c>
      <c r="N46" s="1217">
        <f t="shared" si="19"/>
        <v>7.8125000002593481E-7</v>
      </c>
      <c r="O46" s="2140"/>
      <c r="P46" s="2140"/>
      <c r="Q46" s="2140"/>
      <c r="R46" s="2141"/>
      <c r="S46" s="2141"/>
      <c r="T46" s="2140"/>
    </row>
    <row r="47" spans="3:32" x14ac:dyDescent="0.25">
      <c r="C47" s="71">
        <v>78</v>
      </c>
      <c r="D47" s="59" t="s">
        <v>44</v>
      </c>
      <c r="E47" s="32">
        <f>C47*0.9144</f>
        <v>71.3232</v>
      </c>
      <c r="F47" s="972">
        <v>512</v>
      </c>
      <c r="G47" s="59" t="s">
        <v>82</v>
      </c>
      <c r="H47" s="889">
        <f t="shared" si="20"/>
        <v>5.12</v>
      </c>
      <c r="I47" s="1059">
        <f t="shared" si="16"/>
        <v>7.3201244622324753E-3</v>
      </c>
      <c r="J47" s="1184">
        <f t="shared" si="17"/>
        <v>7.1785898557552102E-2</v>
      </c>
      <c r="K47" s="1185">
        <v>7.3201200000000003E-3</v>
      </c>
      <c r="L47" s="1218">
        <v>7.17859E-2</v>
      </c>
      <c r="M47" s="1115">
        <f t="shared" si="18"/>
        <v>6.0958423562845635E-7</v>
      </c>
      <c r="N47" s="1217">
        <f t="shared" si="19"/>
        <v>-2.0093749973485765E-8</v>
      </c>
      <c r="O47" s="2140"/>
      <c r="P47" s="2140"/>
      <c r="Q47" s="2140"/>
      <c r="R47" s="2141"/>
      <c r="S47" s="2141"/>
      <c r="T47" s="2140"/>
    </row>
    <row r="48" spans="3:32" ht="15.75" thickBot="1" x14ac:dyDescent="0.3">
      <c r="C48" s="974">
        <v>1.7</v>
      </c>
      <c r="D48" s="953" t="s">
        <v>156</v>
      </c>
      <c r="E48" s="1065">
        <f>C48/1000000</f>
        <v>1.7E-6</v>
      </c>
      <c r="F48" s="976">
        <v>68</v>
      </c>
      <c r="G48" s="953" t="s">
        <v>82</v>
      </c>
      <c r="H48" s="954">
        <f t="shared" si="20"/>
        <v>0.68</v>
      </c>
      <c r="I48" s="1051">
        <f t="shared" si="16"/>
        <v>40788.64851911713</v>
      </c>
      <c r="J48" s="1181">
        <f t="shared" si="17"/>
        <v>400000</v>
      </c>
      <c r="K48" s="1182">
        <v>40788.6</v>
      </c>
      <c r="L48" s="1214">
        <v>400000</v>
      </c>
      <c r="M48" s="1176">
        <f t="shared" si="18"/>
        <v>1.1895250000549877E-6</v>
      </c>
      <c r="N48" s="1215">
        <f t="shared" si="19"/>
        <v>0</v>
      </c>
      <c r="O48" s="2140"/>
      <c r="P48" s="2140"/>
      <c r="Q48" s="2140"/>
      <c r="R48" s="2141"/>
      <c r="S48" s="2141"/>
      <c r="T48" s="2140"/>
    </row>
    <row r="49" spans="3:20" ht="15.75" thickTop="1" x14ac:dyDescent="0.25">
      <c r="C49" s="1332">
        <v>8965</v>
      </c>
      <c r="D49" s="1333" t="s">
        <v>39</v>
      </c>
      <c r="E49" s="1334">
        <f>C49/100</f>
        <v>89.65</v>
      </c>
      <c r="F49" s="1335">
        <v>459</v>
      </c>
      <c r="G49" s="1333" t="s">
        <v>83</v>
      </c>
      <c r="H49" s="1370">
        <f>F49</f>
        <v>459</v>
      </c>
      <c r="I49" s="1522">
        <f t="shared" si="16"/>
        <v>0.52208560151351824</v>
      </c>
      <c r="J49" s="1560">
        <f t="shared" si="17"/>
        <v>5.119910764082543</v>
      </c>
      <c r="K49" s="1549">
        <v>0.52208600000000005</v>
      </c>
      <c r="L49" s="1616">
        <v>5.11991</v>
      </c>
      <c r="M49" s="1529">
        <f t="shared" si="18"/>
        <v>-7.6325889979849589E-7</v>
      </c>
      <c r="N49" s="1564">
        <f t="shared" si="19"/>
        <v>1.4923747272601721E-7</v>
      </c>
      <c r="O49" s="2140"/>
      <c r="P49" s="2140"/>
      <c r="Q49" s="2140"/>
      <c r="R49" s="2141"/>
      <c r="S49" s="2141"/>
      <c r="T49" s="2140"/>
    </row>
    <row r="50" spans="3:20" x14ac:dyDescent="0.25">
      <c r="C50" s="1268">
        <v>158</v>
      </c>
      <c r="D50" s="1269" t="s">
        <v>40</v>
      </c>
      <c r="E50" s="1254">
        <f>C50*0.3048</f>
        <v>48.1584</v>
      </c>
      <c r="F50" s="1344">
        <v>1125</v>
      </c>
      <c r="G50" s="1269" t="s">
        <v>83</v>
      </c>
      <c r="H50" s="1270">
        <f t="shared" ref="H50:H56" si="21">F50</f>
        <v>1125</v>
      </c>
      <c r="I50" s="1435">
        <f t="shared" si="16"/>
        <v>2.382098947639808</v>
      </c>
      <c r="J50" s="1551">
        <f t="shared" si="17"/>
        <v>23.360410644871923</v>
      </c>
      <c r="K50" s="1552">
        <v>2.3820999999999999</v>
      </c>
      <c r="L50" s="1565">
        <v>23.360399999999998</v>
      </c>
      <c r="M50" s="1498">
        <f t="shared" si="18"/>
        <v>-4.4177853859529742E-7</v>
      </c>
      <c r="N50" s="1567">
        <f t="shared" si="19"/>
        <v>4.5568000007341045E-7</v>
      </c>
      <c r="O50" s="2140"/>
      <c r="P50" s="2140"/>
      <c r="Q50" s="2140"/>
      <c r="R50" s="2141"/>
      <c r="S50" s="2141"/>
      <c r="T50" s="2140"/>
    </row>
    <row r="51" spans="3:20" x14ac:dyDescent="0.25">
      <c r="C51" s="1268">
        <v>756</v>
      </c>
      <c r="D51" s="1269" t="s">
        <v>41</v>
      </c>
      <c r="E51" s="1254">
        <f>C51*2.54/100</f>
        <v>19.202400000000001</v>
      </c>
      <c r="F51" s="1344">
        <v>59</v>
      </c>
      <c r="G51" s="1269" t="s">
        <v>83</v>
      </c>
      <c r="H51" s="1270">
        <f t="shared" si="21"/>
        <v>59</v>
      </c>
      <c r="I51" s="1435">
        <f t="shared" si="16"/>
        <v>0.313311130721669</v>
      </c>
      <c r="J51" s="1551">
        <f t="shared" si="17"/>
        <v>3.0725326000916553</v>
      </c>
      <c r="K51" s="1552">
        <v>0.31331100000000001</v>
      </c>
      <c r="L51" s="1565">
        <v>3.07253</v>
      </c>
      <c r="M51" s="1498">
        <f t="shared" si="18"/>
        <v>4.1722638033420768E-7</v>
      </c>
      <c r="N51" s="1567">
        <f t="shared" si="19"/>
        <v>8.4623728816942628E-7</v>
      </c>
      <c r="O51" s="2140"/>
      <c r="P51" s="2140"/>
      <c r="Q51" s="2140"/>
      <c r="R51" s="2141"/>
      <c r="S51" s="2141"/>
      <c r="T51" s="2140"/>
    </row>
    <row r="52" spans="3:20" x14ac:dyDescent="0.25">
      <c r="C52" s="1268">
        <v>5698</v>
      </c>
      <c r="D52" s="1269" t="s">
        <v>42</v>
      </c>
      <c r="E52" s="1254">
        <f>C52</f>
        <v>5698</v>
      </c>
      <c r="F52" s="1344">
        <v>458</v>
      </c>
      <c r="G52" s="1269" t="s">
        <v>83</v>
      </c>
      <c r="H52" s="1270">
        <f t="shared" si="21"/>
        <v>458</v>
      </c>
      <c r="I52" s="1435">
        <f t="shared" si="16"/>
        <v>8.1963851446804348E-3</v>
      </c>
      <c r="J52" s="1551">
        <f t="shared" si="17"/>
        <v>8.0379080379080384E-2</v>
      </c>
      <c r="K52" s="1552">
        <v>8.1963899999999996E-3</v>
      </c>
      <c r="L52" s="1565">
        <v>8.0379099999999995E-2</v>
      </c>
      <c r="M52" s="1498">
        <f t="shared" si="18"/>
        <v>-5.9237328152574636E-7</v>
      </c>
      <c r="N52" s="1567">
        <f t="shared" si="19"/>
        <v>-2.4410480337344801E-7</v>
      </c>
      <c r="O52" s="2140"/>
      <c r="P52" s="2140"/>
      <c r="Q52" s="2140"/>
      <c r="R52" s="2141"/>
      <c r="S52" s="2141"/>
      <c r="T52" s="2140"/>
    </row>
    <row r="53" spans="3:20" x14ac:dyDescent="0.25">
      <c r="C53" s="1268">
        <v>4587</v>
      </c>
      <c r="D53" s="1269" t="s">
        <v>46</v>
      </c>
      <c r="E53" s="1254">
        <f>C53*63360*2.54/100</f>
        <v>7382060.9279999994</v>
      </c>
      <c r="F53" s="1344">
        <v>45</v>
      </c>
      <c r="G53" s="1269" t="s">
        <v>83</v>
      </c>
      <c r="H53" s="1270">
        <f t="shared" si="21"/>
        <v>45</v>
      </c>
      <c r="I53" s="1435">
        <f t="shared" si="16"/>
        <v>6.2160459025686839E-7</v>
      </c>
      <c r="J53" s="1551">
        <f t="shared" si="17"/>
        <v>6.0958586550425185E-6</v>
      </c>
      <c r="K53" s="2161">
        <v>6.2160459025686796E-7</v>
      </c>
      <c r="L53" s="2162">
        <v>6.0958586550425202E-6</v>
      </c>
      <c r="M53" s="1498">
        <f t="shared" si="18"/>
        <v>6.8132777695888409E-16</v>
      </c>
      <c r="N53" s="1567">
        <f t="shared" si="19"/>
        <v>-2.7790439220687352E-16</v>
      </c>
      <c r="O53" s="2145"/>
      <c r="P53" s="2140"/>
      <c r="Q53" s="2140"/>
      <c r="R53" s="2141"/>
      <c r="S53" s="2141"/>
      <c r="T53" s="2140"/>
    </row>
    <row r="54" spans="3:20" x14ac:dyDescent="0.25">
      <c r="C54" s="1268">
        <v>425</v>
      </c>
      <c r="D54" s="1269" t="s">
        <v>43</v>
      </c>
      <c r="E54" s="1254">
        <f>C54/1000</f>
        <v>0.42499999999999999</v>
      </c>
      <c r="F54" s="1438">
        <v>15.9</v>
      </c>
      <c r="G54" s="1269" t="s">
        <v>83</v>
      </c>
      <c r="H54" s="1270">
        <f t="shared" si="21"/>
        <v>15.9</v>
      </c>
      <c r="I54" s="1435">
        <f t="shared" si="16"/>
        <v>3.8149383026703672</v>
      </c>
      <c r="J54" s="1551">
        <f t="shared" si="17"/>
        <v>37.411764705882355</v>
      </c>
      <c r="K54" s="1552">
        <v>3.81494</v>
      </c>
      <c r="L54" s="1565">
        <v>37.411799999999999</v>
      </c>
      <c r="M54" s="1498">
        <f t="shared" si="18"/>
        <v>-4.449166665829579E-7</v>
      </c>
      <c r="N54" s="1567">
        <f t="shared" si="19"/>
        <v>-9.4339622634586326E-7</v>
      </c>
      <c r="O54" s="2140"/>
      <c r="P54" s="2140"/>
      <c r="Q54" s="2140"/>
      <c r="R54" s="2141"/>
      <c r="S54" s="2141"/>
      <c r="T54" s="2140"/>
    </row>
    <row r="55" spans="3:20" x14ac:dyDescent="0.25">
      <c r="C55" s="1268">
        <v>68</v>
      </c>
      <c r="D55" s="1269" t="s">
        <v>44</v>
      </c>
      <c r="E55" s="1254">
        <f>C55*0.9144</f>
        <v>62.179200000000002</v>
      </c>
      <c r="F55" s="1344">
        <v>89</v>
      </c>
      <c r="G55" s="1269" t="s">
        <v>83</v>
      </c>
      <c r="H55" s="1270">
        <f t="shared" si="21"/>
        <v>89</v>
      </c>
      <c r="I55" s="1435">
        <f t="shared" si="16"/>
        <v>0.1459567555630108</v>
      </c>
      <c r="J55" s="1551">
        <f t="shared" si="17"/>
        <v>1.4313468169419998</v>
      </c>
      <c r="K55" s="1552">
        <v>0.145957</v>
      </c>
      <c r="L55" s="1565">
        <v>1.4313499999999999</v>
      </c>
      <c r="M55" s="1498">
        <f t="shared" si="18"/>
        <v>-1.674721997363467E-6</v>
      </c>
      <c r="N55" s="1567">
        <f t="shared" si="19"/>
        <v>-2.2238202246939354E-6</v>
      </c>
      <c r="O55" s="2140"/>
      <c r="P55" s="2140"/>
      <c r="Q55" s="2140"/>
      <c r="R55" s="2141"/>
      <c r="S55" s="2141"/>
      <c r="T55" s="2140"/>
    </row>
    <row r="56" spans="3:20" ht="15.75" thickBot="1" x14ac:dyDescent="0.3">
      <c r="C56" s="1478">
        <v>9658</v>
      </c>
      <c r="D56" s="1479" t="s">
        <v>156</v>
      </c>
      <c r="E56" s="1480">
        <f>C56/1000000</f>
        <v>9.6579999999999999E-3</v>
      </c>
      <c r="F56" s="1481">
        <v>42</v>
      </c>
      <c r="G56" s="1479" t="s">
        <v>83</v>
      </c>
      <c r="H56" s="1482">
        <f t="shared" si="21"/>
        <v>42</v>
      </c>
      <c r="I56" s="1484">
        <f t="shared" si="16"/>
        <v>443.44668611589339</v>
      </c>
      <c r="J56" s="1568">
        <f t="shared" si="17"/>
        <v>4348.7264443984259</v>
      </c>
      <c r="K56" s="2163">
        <v>443.447</v>
      </c>
      <c r="L56" s="1569">
        <v>4348.7299999999996</v>
      </c>
      <c r="M56" s="1441">
        <f t="shared" si="18"/>
        <v>-7.0782828341048087E-7</v>
      </c>
      <c r="N56" s="1572">
        <f t="shared" si="19"/>
        <v>-8.1761904758578964E-7</v>
      </c>
      <c r="O56" s="2140"/>
      <c r="P56" s="2140"/>
      <c r="Q56" s="2140"/>
      <c r="R56" s="2141"/>
      <c r="S56" s="2141"/>
      <c r="T56" s="2140"/>
    </row>
    <row r="57" spans="3:20" ht="15.75" thickTop="1" x14ac:dyDescent="0.25"/>
  </sheetData>
  <mergeCells count="31">
    <mergeCell ref="C30:E30"/>
    <mergeCell ref="F30:H30"/>
    <mergeCell ref="I29:P29"/>
    <mergeCell ref="Q29:X29"/>
    <mergeCell ref="Y29:AF29"/>
    <mergeCell ref="I30:P30"/>
    <mergeCell ref="Q30:X30"/>
    <mergeCell ref="Y30:AF30"/>
    <mergeCell ref="C29:H29"/>
    <mergeCell ref="K9:L9"/>
    <mergeCell ref="K8:L8"/>
    <mergeCell ref="M8:N8"/>
    <mergeCell ref="M9:N9"/>
    <mergeCell ref="C2:J2"/>
    <mergeCell ref="C4:E4"/>
    <mergeCell ref="H4:I4"/>
    <mergeCell ref="C8:H8"/>
    <mergeCell ref="C9:E9"/>
    <mergeCell ref="F9:H9"/>
    <mergeCell ref="E6:G6"/>
    <mergeCell ref="I8:J8"/>
    <mergeCell ref="I9:J9"/>
    <mergeCell ref="C38:H38"/>
    <mergeCell ref="C39:E39"/>
    <mergeCell ref="F39:H39"/>
    <mergeCell ref="K38:L38"/>
    <mergeCell ref="M39:N39"/>
    <mergeCell ref="I39:J39"/>
    <mergeCell ref="I38:J38"/>
    <mergeCell ref="K39:L39"/>
    <mergeCell ref="M38:N38"/>
  </mergeCells>
  <conditionalFormatting sqref="M11:N26 Y32:AF35 M41:N56">
    <cfRule type="cellIs" dxfId="11" priority="2" operator="notBetween">
      <formula>-0.01</formula>
      <formula>0.01</formula>
    </cfRule>
    <cfRule type="cellIs" dxfId="10" priority="1" operator="notBetween">
      <formula>-0.001</formula>
      <formula>0.001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AL86"/>
  <sheetViews>
    <sheetView zoomScaleNormal="100" workbookViewId="0">
      <selection activeCell="B2" sqref="B2"/>
    </sheetView>
  </sheetViews>
  <sheetFormatPr defaultColWidth="18.7109375" defaultRowHeight="15" x14ac:dyDescent="0.25"/>
  <cols>
    <col min="1" max="2" width="5.7109375" style="9" customWidth="1"/>
    <col min="3" max="3" width="12.7109375" style="9" customWidth="1"/>
    <col min="4" max="4" width="10.7109375" style="9" customWidth="1"/>
    <col min="5" max="5" width="18.7109375" style="9"/>
    <col min="6" max="6" width="12.7109375" style="9" customWidth="1"/>
    <col min="7" max="7" width="10.7109375" style="9" customWidth="1"/>
    <col min="8" max="16384" width="18.7109375" style="9"/>
  </cols>
  <sheetData>
    <row r="2" spans="3:38" ht="21" x14ac:dyDescent="0.35">
      <c r="C2" s="2490" t="s">
        <v>26</v>
      </c>
      <c r="D2" s="2491"/>
      <c r="E2" s="2491"/>
      <c r="F2" s="2491"/>
      <c r="G2" s="2491"/>
      <c r="H2" s="2491"/>
      <c r="I2" s="2491"/>
      <c r="J2" s="2491"/>
    </row>
    <row r="3" spans="3:38" x14ac:dyDescent="0.25"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</row>
    <row r="4" spans="3:38" x14ac:dyDescent="0.25">
      <c r="C4" s="2501" t="s">
        <v>22</v>
      </c>
      <c r="D4" s="2502"/>
      <c r="E4" s="2503"/>
      <c r="F4" s="20"/>
      <c r="G4" s="20"/>
      <c r="H4" s="2501" t="s">
        <v>23</v>
      </c>
      <c r="I4" s="2503"/>
      <c r="K4" s="90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</row>
    <row r="5" spans="3:38" ht="15.75" thickBot="1" x14ac:dyDescent="0.3"/>
    <row r="6" spans="3:38" ht="19.5" thickBot="1" x14ac:dyDescent="0.35">
      <c r="E6" s="2497" t="s">
        <v>125</v>
      </c>
      <c r="F6" s="2498"/>
      <c r="G6" s="2499"/>
    </row>
    <row r="7" spans="3:38" ht="15.75" thickBot="1" x14ac:dyDescent="0.3"/>
    <row r="8" spans="3:38" ht="15.75" thickTop="1" x14ac:dyDescent="0.25">
      <c r="C8" s="2488" t="s">
        <v>0</v>
      </c>
      <c r="D8" s="2489"/>
      <c r="E8" s="2489"/>
      <c r="F8" s="2489"/>
      <c r="G8" s="2489"/>
      <c r="H8" s="2489"/>
      <c r="I8" s="2483" t="s">
        <v>158</v>
      </c>
      <c r="J8" s="2484"/>
      <c r="K8" s="2484"/>
      <c r="L8" s="2484"/>
      <c r="M8" s="2485"/>
      <c r="N8" s="2489" t="s">
        <v>17</v>
      </c>
      <c r="O8" s="2489"/>
      <c r="P8" s="2489"/>
      <c r="Q8" s="2489"/>
      <c r="R8" s="2489"/>
      <c r="S8" s="2483" t="s">
        <v>8</v>
      </c>
      <c r="T8" s="2484"/>
      <c r="U8" s="2484"/>
      <c r="V8" s="2484"/>
      <c r="W8" s="2485"/>
    </row>
    <row r="9" spans="3:38" ht="15.75" thickBot="1" x14ac:dyDescent="0.3">
      <c r="C9" s="2524" t="s">
        <v>142</v>
      </c>
      <c r="D9" s="2525"/>
      <c r="E9" s="2525"/>
      <c r="F9" s="2524" t="s">
        <v>143</v>
      </c>
      <c r="G9" s="2525"/>
      <c r="H9" s="2526"/>
      <c r="I9" s="2527" t="s">
        <v>144</v>
      </c>
      <c r="J9" s="2528"/>
      <c r="K9" s="2528"/>
      <c r="L9" s="2528"/>
      <c r="M9" s="2529"/>
      <c r="N9" s="2524" t="s">
        <v>144</v>
      </c>
      <c r="O9" s="2525"/>
      <c r="P9" s="2525"/>
      <c r="Q9" s="2525"/>
      <c r="R9" s="2526"/>
      <c r="S9" s="2527" t="s">
        <v>144</v>
      </c>
      <c r="T9" s="2528"/>
      <c r="U9" s="2528"/>
      <c r="V9" s="2528"/>
      <c r="W9" s="2529"/>
    </row>
    <row r="10" spans="3:38" ht="16.5" thickTop="1" thickBot="1" x14ac:dyDescent="0.3">
      <c r="C10" s="685" t="s">
        <v>3</v>
      </c>
      <c r="D10" s="753" t="s">
        <v>4</v>
      </c>
      <c r="E10" s="802" t="s">
        <v>86</v>
      </c>
      <c r="F10" s="685" t="s">
        <v>3</v>
      </c>
      <c r="G10" s="753" t="s">
        <v>4</v>
      </c>
      <c r="H10" s="687" t="s">
        <v>87</v>
      </c>
      <c r="I10" s="809" t="s">
        <v>88</v>
      </c>
      <c r="J10" s="810" t="s">
        <v>89</v>
      </c>
      <c r="K10" s="810" t="s">
        <v>90</v>
      </c>
      <c r="L10" s="810" t="s">
        <v>91</v>
      </c>
      <c r="M10" s="811" t="s">
        <v>92</v>
      </c>
      <c r="N10" s="804" t="s">
        <v>88</v>
      </c>
      <c r="O10" s="686" t="s">
        <v>89</v>
      </c>
      <c r="P10" s="686" t="s">
        <v>90</v>
      </c>
      <c r="Q10" s="686" t="s">
        <v>91</v>
      </c>
      <c r="R10" s="804" t="s">
        <v>92</v>
      </c>
      <c r="S10" s="2135" t="s">
        <v>88</v>
      </c>
      <c r="T10" s="2170" t="s">
        <v>89</v>
      </c>
      <c r="U10" s="2170" t="s">
        <v>90</v>
      </c>
      <c r="V10" s="2170" t="s">
        <v>91</v>
      </c>
      <c r="W10" s="2136" t="s">
        <v>92</v>
      </c>
    </row>
    <row r="11" spans="3:38" ht="15.75" thickTop="1" x14ac:dyDescent="0.25">
      <c r="C11" s="968">
        <v>2E-3</v>
      </c>
      <c r="D11" s="964" t="s">
        <v>93</v>
      </c>
      <c r="E11" s="965">
        <f>C11*1000</f>
        <v>2</v>
      </c>
      <c r="F11" s="968">
        <v>2.5</v>
      </c>
      <c r="G11" s="964" t="s">
        <v>87</v>
      </c>
      <c r="H11" s="967">
        <f>F11</f>
        <v>2.5</v>
      </c>
      <c r="I11" s="968">
        <f>L11/1000</f>
        <v>5.0000000000000001E-3</v>
      </c>
      <c r="J11" s="1085">
        <f>L11*1000</f>
        <v>5000</v>
      </c>
      <c r="K11" s="1085">
        <f>L11/1000000</f>
        <v>5.0000000000000004E-6</v>
      </c>
      <c r="L11" s="1085">
        <f>E11*H11</f>
        <v>5</v>
      </c>
      <c r="M11" s="967">
        <f>L11*1000000</f>
        <v>5000000</v>
      </c>
      <c r="N11" s="965">
        <v>5.0000000000000001E-3</v>
      </c>
      <c r="O11" s="1085">
        <v>5000</v>
      </c>
      <c r="P11" s="1111">
        <v>5.0000000000000004E-6</v>
      </c>
      <c r="Q11" s="1085">
        <v>5</v>
      </c>
      <c r="R11" s="965">
        <v>5000000</v>
      </c>
      <c r="S11" s="885">
        <f>(I11-N11)/I11</f>
        <v>0</v>
      </c>
      <c r="T11" s="886">
        <f t="shared" ref="T11:W11" si="0">(J11-O11)/J11</f>
        <v>0</v>
      </c>
      <c r="U11" s="886">
        <f t="shared" si="0"/>
        <v>0</v>
      </c>
      <c r="V11" s="886">
        <f t="shared" si="0"/>
        <v>0</v>
      </c>
      <c r="W11" s="887">
        <f t="shared" si="0"/>
        <v>0</v>
      </c>
    </row>
    <row r="12" spans="3:38" x14ac:dyDescent="0.25">
      <c r="C12" s="1059">
        <v>15800</v>
      </c>
      <c r="D12" s="59" t="s">
        <v>94</v>
      </c>
      <c r="E12" s="32">
        <f>C12/1000</f>
        <v>15.8</v>
      </c>
      <c r="F12" s="1059">
        <v>32</v>
      </c>
      <c r="G12" s="59" t="s">
        <v>87</v>
      </c>
      <c r="H12" s="889">
        <f>F12</f>
        <v>32</v>
      </c>
      <c r="I12" s="1059">
        <f t="shared" ref="I12:I30" si="1">L12/1000</f>
        <v>0.50560000000000005</v>
      </c>
      <c r="J12" s="1060">
        <f t="shared" ref="J12:J30" si="2">L12*1000</f>
        <v>505600</v>
      </c>
      <c r="K12" s="1060">
        <f t="shared" ref="K12:K30" si="3">L12/1000000</f>
        <v>5.0560000000000004E-4</v>
      </c>
      <c r="L12" s="1060">
        <f t="shared" ref="L12:L30" si="4">E12*H12</f>
        <v>505.6</v>
      </c>
      <c r="M12" s="889">
        <f t="shared" ref="M12:M30" si="5">L12*1000000</f>
        <v>505600000</v>
      </c>
      <c r="N12" s="32">
        <v>0.50560000000000005</v>
      </c>
      <c r="O12" s="1060">
        <v>505600</v>
      </c>
      <c r="P12" s="1060">
        <v>5.0560000000000004E-4</v>
      </c>
      <c r="Q12" s="1060">
        <v>505.6</v>
      </c>
      <c r="R12" s="32">
        <v>505600000</v>
      </c>
      <c r="S12" s="897">
        <f t="shared" ref="S12:S30" si="6">(I12-N12)/I12</f>
        <v>0</v>
      </c>
      <c r="T12" s="898">
        <f t="shared" ref="T12:T30" si="7">(J12-O12)/J12</f>
        <v>0</v>
      </c>
      <c r="U12" s="898">
        <f t="shared" ref="U12:U30" si="8">(K12-P12)/K12</f>
        <v>0</v>
      </c>
      <c r="V12" s="898">
        <f t="shared" ref="V12:V30" si="9">(L12-Q12)/L12</f>
        <v>0</v>
      </c>
      <c r="W12" s="899">
        <f t="shared" ref="W12:W30" si="10">(M12-R12)/M12</f>
        <v>0</v>
      </c>
    </row>
    <row r="13" spans="3:38" x14ac:dyDescent="0.25">
      <c r="C13" s="1059">
        <v>0.05</v>
      </c>
      <c r="D13" s="59" t="s">
        <v>95</v>
      </c>
      <c r="E13" s="32">
        <f>C13*1000000</f>
        <v>50000</v>
      </c>
      <c r="F13" s="1059">
        <v>940</v>
      </c>
      <c r="G13" s="59" t="s">
        <v>87</v>
      </c>
      <c r="H13" s="889">
        <f>F13</f>
        <v>940</v>
      </c>
      <c r="I13" s="1059">
        <f t="shared" si="1"/>
        <v>47000</v>
      </c>
      <c r="J13" s="1060">
        <f t="shared" si="2"/>
        <v>47000000000</v>
      </c>
      <c r="K13" s="1060">
        <f t="shared" si="3"/>
        <v>47</v>
      </c>
      <c r="L13" s="1060">
        <f t="shared" si="4"/>
        <v>47000000</v>
      </c>
      <c r="M13" s="889">
        <f t="shared" si="5"/>
        <v>47000000000000</v>
      </c>
      <c r="N13" s="32">
        <v>47000</v>
      </c>
      <c r="O13" s="1060">
        <v>47000000000</v>
      </c>
      <c r="P13" s="1060">
        <v>47</v>
      </c>
      <c r="Q13" s="1060">
        <v>47000000</v>
      </c>
      <c r="R13" s="32">
        <v>47000000000000</v>
      </c>
      <c r="S13" s="897">
        <f t="shared" si="6"/>
        <v>0</v>
      </c>
      <c r="T13" s="898">
        <f t="shared" si="7"/>
        <v>0</v>
      </c>
      <c r="U13" s="898">
        <f t="shared" si="8"/>
        <v>0</v>
      </c>
      <c r="V13" s="898">
        <f t="shared" si="9"/>
        <v>0</v>
      </c>
      <c r="W13" s="899">
        <f t="shared" si="10"/>
        <v>0</v>
      </c>
    </row>
    <row r="14" spans="3:38" x14ac:dyDescent="0.25">
      <c r="C14" s="1059">
        <v>800</v>
      </c>
      <c r="D14" s="1114" t="s">
        <v>96</v>
      </c>
      <c r="E14" s="32">
        <f>C14/1000000</f>
        <v>8.0000000000000004E-4</v>
      </c>
      <c r="F14" s="1059">
        <v>412</v>
      </c>
      <c r="G14" s="59" t="s">
        <v>87</v>
      </c>
      <c r="H14" s="889">
        <f>F14</f>
        <v>412</v>
      </c>
      <c r="I14" s="1059">
        <f t="shared" si="1"/>
        <v>3.2959999999999999E-4</v>
      </c>
      <c r="J14" s="1060">
        <f t="shared" si="2"/>
        <v>329.6</v>
      </c>
      <c r="K14" s="1060">
        <f t="shared" si="3"/>
        <v>3.2959999999999999E-7</v>
      </c>
      <c r="L14" s="1060">
        <f t="shared" si="4"/>
        <v>0.3296</v>
      </c>
      <c r="M14" s="889">
        <f t="shared" si="5"/>
        <v>329600</v>
      </c>
      <c r="N14" s="32">
        <v>3.2959999999999999E-4</v>
      </c>
      <c r="O14" s="1060">
        <v>329.6</v>
      </c>
      <c r="P14" s="1110">
        <v>3.2959999999999999E-7</v>
      </c>
      <c r="Q14" s="1060">
        <v>0.3296</v>
      </c>
      <c r="R14" s="32">
        <v>329600</v>
      </c>
      <c r="S14" s="897">
        <f t="shared" si="6"/>
        <v>0</v>
      </c>
      <c r="T14" s="898">
        <f t="shared" si="7"/>
        <v>0</v>
      </c>
      <c r="U14" s="898">
        <f t="shared" si="8"/>
        <v>0</v>
      </c>
      <c r="V14" s="898">
        <f t="shared" si="9"/>
        <v>0</v>
      </c>
      <c r="W14" s="899">
        <f t="shared" si="10"/>
        <v>0</v>
      </c>
    </row>
    <row r="15" spans="3:38" ht="15.75" thickBot="1" x14ac:dyDescent="0.3">
      <c r="C15" s="1072">
        <v>960</v>
      </c>
      <c r="D15" s="60" t="s">
        <v>86</v>
      </c>
      <c r="E15" s="55">
        <f>C15</f>
        <v>960</v>
      </c>
      <c r="F15" s="1072">
        <v>840</v>
      </c>
      <c r="G15" s="60" t="s">
        <v>87</v>
      </c>
      <c r="H15" s="905">
        <f>F15</f>
        <v>840</v>
      </c>
      <c r="I15" s="1072">
        <f t="shared" si="1"/>
        <v>806.4</v>
      </c>
      <c r="J15" s="1073">
        <f t="shared" si="2"/>
        <v>806400000</v>
      </c>
      <c r="K15" s="1073">
        <f t="shared" si="3"/>
        <v>0.80640000000000001</v>
      </c>
      <c r="L15" s="1073">
        <f t="shared" si="4"/>
        <v>806400</v>
      </c>
      <c r="M15" s="905">
        <f t="shared" si="5"/>
        <v>806400000000</v>
      </c>
      <c r="N15" s="55">
        <v>806.4</v>
      </c>
      <c r="O15" s="1073">
        <v>806400000</v>
      </c>
      <c r="P15" s="1073">
        <v>0.80640000000000001</v>
      </c>
      <c r="Q15" s="1073">
        <v>806400</v>
      </c>
      <c r="R15" s="55">
        <v>806400000000</v>
      </c>
      <c r="S15" s="945">
        <f t="shared" si="6"/>
        <v>0</v>
      </c>
      <c r="T15" s="946">
        <f t="shared" si="7"/>
        <v>0</v>
      </c>
      <c r="U15" s="946">
        <f t="shared" si="8"/>
        <v>0</v>
      </c>
      <c r="V15" s="946">
        <f t="shared" si="9"/>
        <v>0</v>
      </c>
      <c r="W15" s="947">
        <f t="shared" si="10"/>
        <v>0</v>
      </c>
    </row>
    <row r="16" spans="3:38" ht="15.75" thickTop="1" x14ac:dyDescent="0.25">
      <c r="C16" s="1455">
        <v>53</v>
      </c>
      <c r="D16" s="1256" t="s">
        <v>93</v>
      </c>
      <c r="E16" s="1257">
        <f>C16*1000</f>
        <v>53000</v>
      </c>
      <c r="F16" s="1455">
        <v>2305</v>
      </c>
      <c r="G16" s="1256" t="s">
        <v>97</v>
      </c>
      <c r="H16" s="1258">
        <f>F16*1000</f>
        <v>2305000</v>
      </c>
      <c r="I16" s="1455">
        <f t="shared" si="1"/>
        <v>122165000</v>
      </c>
      <c r="J16" s="1456">
        <f t="shared" si="2"/>
        <v>122165000000000</v>
      </c>
      <c r="K16" s="1456">
        <f t="shared" si="3"/>
        <v>122165</v>
      </c>
      <c r="L16" s="1456">
        <f t="shared" si="4"/>
        <v>122165000000</v>
      </c>
      <c r="M16" s="1258">
        <f t="shared" si="5"/>
        <v>1.22165E+17</v>
      </c>
      <c r="N16" s="1257">
        <v>122165000</v>
      </c>
      <c r="O16" s="1456">
        <v>122165000000000</v>
      </c>
      <c r="P16" s="1456">
        <v>122165</v>
      </c>
      <c r="Q16" s="1456">
        <v>122165000000</v>
      </c>
      <c r="R16" s="1494">
        <v>1.22165E+17</v>
      </c>
      <c r="S16" s="960">
        <f t="shared" si="6"/>
        <v>0</v>
      </c>
      <c r="T16" s="961">
        <f t="shared" si="7"/>
        <v>0</v>
      </c>
      <c r="U16" s="961">
        <f t="shared" si="8"/>
        <v>0</v>
      </c>
      <c r="V16" s="961">
        <f t="shared" si="9"/>
        <v>0</v>
      </c>
      <c r="W16" s="962">
        <f t="shared" si="10"/>
        <v>0</v>
      </c>
    </row>
    <row r="17" spans="3:23" x14ac:dyDescent="0.25">
      <c r="C17" s="1435">
        <v>840</v>
      </c>
      <c r="D17" s="1269" t="s">
        <v>94</v>
      </c>
      <c r="E17" s="1254">
        <f>C17/1000</f>
        <v>0.84</v>
      </c>
      <c r="F17" s="1435">
        <v>940</v>
      </c>
      <c r="G17" s="1269" t="s">
        <v>97</v>
      </c>
      <c r="H17" s="1258">
        <f>F17*1000</f>
        <v>940000</v>
      </c>
      <c r="I17" s="1435">
        <f t="shared" si="1"/>
        <v>789.6</v>
      </c>
      <c r="J17" s="1446">
        <f t="shared" si="2"/>
        <v>789600000</v>
      </c>
      <c r="K17" s="1446">
        <f t="shared" si="3"/>
        <v>0.78959999999999997</v>
      </c>
      <c r="L17" s="1446">
        <f t="shared" si="4"/>
        <v>789600</v>
      </c>
      <c r="M17" s="1270">
        <f t="shared" si="5"/>
        <v>789600000000</v>
      </c>
      <c r="N17" s="1254">
        <v>789.6</v>
      </c>
      <c r="O17" s="1446">
        <v>789600000</v>
      </c>
      <c r="P17" s="1446">
        <v>0.78959999999999997</v>
      </c>
      <c r="Q17" s="1446">
        <v>789600</v>
      </c>
      <c r="R17" s="1254">
        <v>789600000000</v>
      </c>
      <c r="S17" s="897">
        <f t="shared" si="6"/>
        <v>0</v>
      </c>
      <c r="T17" s="898">
        <f t="shared" si="7"/>
        <v>0</v>
      </c>
      <c r="U17" s="898">
        <f t="shared" si="8"/>
        <v>0</v>
      </c>
      <c r="V17" s="898">
        <f t="shared" si="9"/>
        <v>0</v>
      </c>
      <c r="W17" s="899">
        <f t="shared" si="10"/>
        <v>0</v>
      </c>
    </row>
    <row r="18" spans="3:23" x14ac:dyDescent="0.25">
      <c r="C18" s="1435">
        <v>0.8</v>
      </c>
      <c r="D18" s="1269" t="s">
        <v>95</v>
      </c>
      <c r="E18" s="1254">
        <f>C18*1000000</f>
        <v>800000</v>
      </c>
      <c r="F18" s="1435">
        <v>0.5</v>
      </c>
      <c r="G18" s="1269" t="s">
        <v>97</v>
      </c>
      <c r="H18" s="1258">
        <f>F18*1000</f>
        <v>500</v>
      </c>
      <c r="I18" s="1435">
        <f t="shared" si="1"/>
        <v>400000</v>
      </c>
      <c r="J18" s="1446">
        <f t="shared" si="2"/>
        <v>400000000000</v>
      </c>
      <c r="K18" s="1446">
        <f t="shared" si="3"/>
        <v>400</v>
      </c>
      <c r="L18" s="1446">
        <f t="shared" si="4"/>
        <v>400000000</v>
      </c>
      <c r="M18" s="1270">
        <f t="shared" si="5"/>
        <v>400000000000000</v>
      </c>
      <c r="N18" s="1254">
        <v>400000</v>
      </c>
      <c r="O18" s="1446">
        <v>400000000000</v>
      </c>
      <c r="P18" s="1446">
        <v>400</v>
      </c>
      <c r="Q18" s="1446">
        <v>400000000</v>
      </c>
      <c r="R18" s="1254">
        <v>400000000000000</v>
      </c>
      <c r="S18" s="897">
        <f t="shared" si="6"/>
        <v>0</v>
      </c>
      <c r="T18" s="898">
        <f t="shared" si="7"/>
        <v>0</v>
      </c>
      <c r="U18" s="898">
        <f t="shared" si="8"/>
        <v>0</v>
      </c>
      <c r="V18" s="898">
        <f t="shared" si="9"/>
        <v>0</v>
      </c>
      <c r="W18" s="899">
        <f t="shared" si="10"/>
        <v>0</v>
      </c>
    </row>
    <row r="19" spans="3:23" x14ac:dyDescent="0.25">
      <c r="C19" s="1435">
        <v>690</v>
      </c>
      <c r="D19" s="1496" t="s">
        <v>96</v>
      </c>
      <c r="E19" s="1254">
        <f>C19/1000000</f>
        <v>6.8999999999999997E-4</v>
      </c>
      <c r="F19" s="1435">
        <v>530</v>
      </c>
      <c r="G19" s="1269" t="s">
        <v>97</v>
      </c>
      <c r="H19" s="1258">
        <f>F19*1000</f>
        <v>530000</v>
      </c>
      <c r="I19" s="1435">
        <f t="shared" si="1"/>
        <v>0.36569999999999997</v>
      </c>
      <c r="J19" s="1446">
        <f t="shared" si="2"/>
        <v>365700</v>
      </c>
      <c r="K19" s="1446">
        <f t="shared" si="3"/>
        <v>3.657E-4</v>
      </c>
      <c r="L19" s="1446">
        <f t="shared" si="4"/>
        <v>365.7</v>
      </c>
      <c r="M19" s="1270">
        <f t="shared" si="5"/>
        <v>365700000</v>
      </c>
      <c r="N19" s="1254">
        <v>0.36570000000000003</v>
      </c>
      <c r="O19" s="1446">
        <v>365700</v>
      </c>
      <c r="P19" s="1446">
        <v>3.657E-4</v>
      </c>
      <c r="Q19" s="1446">
        <v>365.7</v>
      </c>
      <c r="R19" s="1254">
        <v>365700000</v>
      </c>
      <c r="S19" s="897">
        <f t="shared" si="6"/>
        <v>-1.5179423361022102E-16</v>
      </c>
      <c r="T19" s="898">
        <f t="shared" si="7"/>
        <v>0</v>
      </c>
      <c r="U19" s="898">
        <f t="shared" si="8"/>
        <v>0</v>
      </c>
      <c r="V19" s="898">
        <f t="shared" si="9"/>
        <v>0</v>
      </c>
      <c r="W19" s="899">
        <f t="shared" si="10"/>
        <v>0</v>
      </c>
    </row>
    <row r="20" spans="3:23" ht="15.75" thickBot="1" x14ac:dyDescent="0.3">
      <c r="C20" s="1465">
        <v>780</v>
      </c>
      <c r="D20" s="1287" t="s">
        <v>86</v>
      </c>
      <c r="E20" s="1309">
        <f>C20</f>
        <v>780</v>
      </c>
      <c r="F20" s="1465">
        <v>230</v>
      </c>
      <c r="G20" s="1287" t="s">
        <v>97</v>
      </c>
      <c r="H20" s="1258">
        <f>F20*1000</f>
        <v>230000</v>
      </c>
      <c r="I20" s="1465">
        <f t="shared" si="1"/>
        <v>179400</v>
      </c>
      <c r="J20" s="1466">
        <f t="shared" si="2"/>
        <v>179400000000</v>
      </c>
      <c r="K20" s="1466">
        <f t="shared" si="3"/>
        <v>179.4</v>
      </c>
      <c r="L20" s="1466">
        <f t="shared" si="4"/>
        <v>179400000</v>
      </c>
      <c r="M20" s="1289">
        <f t="shared" si="5"/>
        <v>179400000000000</v>
      </c>
      <c r="N20" s="1309">
        <v>179400</v>
      </c>
      <c r="O20" s="1466">
        <v>179400000000</v>
      </c>
      <c r="P20" s="1466">
        <v>179.4</v>
      </c>
      <c r="Q20" s="1466">
        <v>179400000</v>
      </c>
      <c r="R20" s="1309">
        <v>179400000000000</v>
      </c>
      <c r="S20" s="911">
        <f t="shared" si="6"/>
        <v>0</v>
      </c>
      <c r="T20" s="912">
        <f t="shared" si="7"/>
        <v>0</v>
      </c>
      <c r="U20" s="912">
        <f t="shared" si="8"/>
        <v>0</v>
      </c>
      <c r="V20" s="912">
        <f t="shared" si="9"/>
        <v>0</v>
      </c>
      <c r="W20" s="913">
        <f t="shared" si="10"/>
        <v>0</v>
      </c>
    </row>
    <row r="21" spans="3:23" ht="15.75" thickTop="1" x14ac:dyDescent="0.25">
      <c r="C21" s="311">
        <v>8.9999999999999993E-3</v>
      </c>
      <c r="D21" s="146" t="s">
        <v>93</v>
      </c>
      <c r="E21" s="147">
        <f>C21*1000</f>
        <v>9</v>
      </c>
      <c r="F21" s="311">
        <v>640</v>
      </c>
      <c r="G21" s="146" t="s">
        <v>98</v>
      </c>
      <c r="H21" s="24">
        <f>F21/1000</f>
        <v>0.64</v>
      </c>
      <c r="I21" s="311">
        <f t="shared" si="1"/>
        <v>5.7599999999999995E-3</v>
      </c>
      <c r="J21" s="116">
        <f t="shared" si="2"/>
        <v>5760</v>
      </c>
      <c r="K21" s="116">
        <f t="shared" si="3"/>
        <v>5.7599999999999999E-6</v>
      </c>
      <c r="L21" s="116">
        <f t="shared" si="4"/>
        <v>5.76</v>
      </c>
      <c r="M21" s="115">
        <f t="shared" si="5"/>
        <v>5760000</v>
      </c>
      <c r="N21" s="147">
        <v>5.7600000000000004E-3</v>
      </c>
      <c r="O21" s="116">
        <v>5760</v>
      </c>
      <c r="P21" s="738">
        <v>5.7599999999999999E-6</v>
      </c>
      <c r="Q21" s="116">
        <v>5.76</v>
      </c>
      <c r="R21" s="147">
        <v>5760000</v>
      </c>
      <c r="S21" s="1125">
        <f t="shared" si="6"/>
        <v>-1.5058363506743117E-16</v>
      </c>
      <c r="T21" s="995">
        <f t="shared" si="7"/>
        <v>0</v>
      </c>
      <c r="U21" s="995">
        <f t="shared" si="8"/>
        <v>0</v>
      </c>
      <c r="V21" s="995">
        <f t="shared" si="9"/>
        <v>0</v>
      </c>
      <c r="W21" s="996">
        <f t="shared" si="10"/>
        <v>0</v>
      </c>
    </row>
    <row r="22" spans="3:23" x14ac:dyDescent="0.25">
      <c r="C22" s="310">
        <v>5690</v>
      </c>
      <c r="D22" s="62" t="s">
        <v>94</v>
      </c>
      <c r="E22" s="34">
        <f>C22/1000</f>
        <v>5.69</v>
      </c>
      <c r="F22" s="310">
        <v>5400</v>
      </c>
      <c r="G22" s="62" t="s">
        <v>98</v>
      </c>
      <c r="H22" s="318">
        <f>F22/1000</f>
        <v>5.4</v>
      </c>
      <c r="I22" s="310">
        <f t="shared" si="1"/>
        <v>3.0726000000000003E-2</v>
      </c>
      <c r="J22" s="117">
        <f t="shared" si="2"/>
        <v>30726.000000000004</v>
      </c>
      <c r="K22" s="117">
        <f t="shared" si="3"/>
        <v>3.0726000000000004E-5</v>
      </c>
      <c r="L22" s="117">
        <f t="shared" si="4"/>
        <v>30.726000000000003</v>
      </c>
      <c r="M22" s="35">
        <f t="shared" si="5"/>
        <v>30726000.000000004</v>
      </c>
      <c r="N22" s="34">
        <v>3.0726E-2</v>
      </c>
      <c r="O22" s="117">
        <v>30726</v>
      </c>
      <c r="P22" s="739">
        <v>3.0725999999999997E-5</v>
      </c>
      <c r="Q22" s="117">
        <v>30.725999999999999</v>
      </c>
      <c r="R22" s="34">
        <v>30726000</v>
      </c>
      <c r="S22" s="897">
        <f t="shared" si="6"/>
        <v>1.1291567245829636E-16</v>
      </c>
      <c r="T22" s="898">
        <f t="shared" si="7"/>
        <v>1.1840066416363055E-16</v>
      </c>
      <c r="U22" s="898">
        <f t="shared" si="8"/>
        <v>2.2053842277011006E-16</v>
      </c>
      <c r="V22" s="898">
        <f t="shared" si="9"/>
        <v>1.1562564859729547E-16</v>
      </c>
      <c r="W22" s="899">
        <f t="shared" si="10"/>
        <v>1.212422801035577E-16</v>
      </c>
    </row>
    <row r="23" spans="3:23" x14ac:dyDescent="0.25">
      <c r="C23" s="310">
        <v>458</v>
      </c>
      <c r="D23" s="62" t="s">
        <v>95</v>
      </c>
      <c r="E23" s="34">
        <f>C23*1000000</f>
        <v>458000000</v>
      </c>
      <c r="F23" s="310">
        <v>8400</v>
      </c>
      <c r="G23" s="62" t="s">
        <v>98</v>
      </c>
      <c r="H23" s="318">
        <f>F23/1000</f>
        <v>8.4</v>
      </c>
      <c r="I23" s="310">
        <f t="shared" si="1"/>
        <v>3847200</v>
      </c>
      <c r="J23" s="117">
        <f t="shared" si="2"/>
        <v>3847200000000</v>
      </c>
      <c r="K23" s="117">
        <f t="shared" si="3"/>
        <v>3847.2</v>
      </c>
      <c r="L23" s="117">
        <f t="shared" si="4"/>
        <v>3847200000</v>
      </c>
      <c r="M23" s="35">
        <f t="shared" si="5"/>
        <v>3847200000000000</v>
      </c>
      <c r="N23" s="34">
        <v>3847200</v>
      </c>
      <c r="O23" s="117">
        <v>3847200000000</v>
      </c>
      <c r="P23" s="117">
        <v>3847.2</v>
      </c>
      <c r="Q23" s="117">
        <v>3847200000</v>
      </c>
      <c r="R23" s="740">
        <v>3847200000000000</v>
      </c>
      <c r="S23" s="897">
        <f t="shared" si="6"/>
        <v>0</v>
      </c>
      <c r="T23" s="898">
        <f t="shared" si="7"/>
        <v>0</v>
      </c>
      <c r="U23" s="898">
        <f t="shared" si="8"/>
        <v>0</v>
      </c>
      <c r="V23" s="898">
        <f t="shared" si="9"/>
        <v>0</v>
      </c>
      <c r="W23" s="899">
        <f t="shared" si="10"/>
        <v>0</v>
      </c>
    </row>
    <row r="24" spans="3:23" x14ac:dyDescent="0.25">
      <c r="C24" s="310">
        <v>158</v>
      </c>
      <c r="D24" s="320" t="s">
        <v>96</v>
      </c>
      <c r="E24" s="34">
        <f>C24/1000000</f>
        <v>1.5799999999999999E-4</v>
      </c>
      <c r="F24" s="310">
        <v>1.2</v>
      </c>
      <c r="G24" s="62" t="s">
        <v>98</v>
      </c>
      <c r="H24" s="318">
        <f>F24/1000</f>
        <v>1.1999999999999999E-3</v>
      </c>
      <c r="I24" s="310">
        <f t="shared" si="1"/>
        <v>1.8959999999999997E-10</v>
      </c>
      <c r="J24" s="117">
        <f t="shared" si="2"/>
        <v>1.8959999999999997E-4</v>
      </c>
      <c r="K24" s="117">
        <f t="shared" si="3"/>
        <v>1.8959999999999997E-13</v>
      </c>
      <c r="L24" s="117">
        <f t="shared" si="4"/>
        <v>1.8959999999999998E-7</v>
      </c>
      <c r="M24" s="35">
        <f t="shared" si="5"/>
        <v>0.18959999999999999</v>
      </c>
      <c r="N24" s="740">
        <v>1.896E-10</v>
      </c>
      <c r="O24" s="117">
        <v>1.896E-4</v>
      </c>
      <c r="P24" s="739">
        <v>1.8959999999999999E-13</v>
      </c>
      <c r="Q24" s="739">
        <v>1.896E-7</v>
      </c>
      <c r="R24" s="34">
        <v>0.18959999999999999</v>
      </c>
      <c r="S24" s="897">
        <f t="shared" si="6"/>
        <v>-1.3633646699515886E-16</v>
      </c>
      <c r="T24" s="898">
        <f t="shared" si="7"/>
        <v>-1.429591472159157E-16</v>
      </c>
      <c r="U24" s="898">
        <f t="shared" si="8"/>
        <v>-1.3314108104995982E-16</v>
      </c>
      <c r="V24" s="898">
        <f t="shared" si="9"/>
        <v>-1.3960854220304266E-16</v>
      </c>
      <c r="W24" s="899">
        <f t="shared" si="10"/>
        <v>0</v>
      </c>
    </row>
    <row r="25" spans="3:23" ht="15.75" thickBot="1" x14ac:dyDescent="0.3">
      <c r="C25" s="312">
        <v>910</v>
      </c>
      <c r="D25" s="63" t="s">
        <v>86</v>
      </c>
      <c r="E25" s="39">
        <f>C25</f>
        <v>910</v>
      </c>
      <c r="F25" s="312">
        <v>940</v>
      </c>
      <c r="G25" s="63" t="s">
        <v>98</v>
      </c>
      <c r="H25" s="48">
        <f>F25/1000</f>
        <v>0.94</v>
      </c>
      <c r="I25" s="312">
        <f t="shared" si="1"/>
        <v>0.85539999999999994</v>
      </c>
      <c r="J25" s="118">
        <f t="shared" si="2"/>
        <v>855400</v>
      </c>
      <c r="K25" s="118">
        <f t="shared" si="3"/>
        <v>8.5539999999999998E-4</v>
      </c>
      <c r="L25" s="118">
        <f t="shared" si="4"/>
        <v>855.4</v>
      </c>
      <c r="M25" s="40">
        <f t="shared" si="5"/>
        <v>855400000</v>
      </c>
      <c r="N25" s="39">
        <v>0.85540000000000005</v>
      </c>
      <c r="O25" s="118">
        <v>855400</v>
      </c>
      <c r="P25" s="118">
        <v>8.5539999999999998E-4</v>
      </c>
      <c r="Q25" s="118">
        <v>855.4</v>
      </c>
      <c r="R25" s="39">
        <v>855400000</v>
      </c>
      <c r="S25" s="945">
        <f t="shared" si="6"/>
        <v>-1.2978992572190281E-16</v>
      </c>
      <c r="T25" s="946">
        <f t="shared" si="7"/>
        <v>0</v>
      </c>
      <c r="U25" s="946">
        <f t="shared" si="8"/>
        <v>0</v>
      </c>
      <c r="V25" s="946">
        <f t="shared" si="9"/>
        <v>0</v>
      </c>
      <c r="W25" s="947">
        <f t="shared" si="10"/>
        <v>0</v>
      </c>
    </row>
    <row r="26" spans="3:23" ht="15.75" thickTop="1" x14ac:dyDescent="0.25">
      <c r="C26" s="420">
        <v>12450</v>
      </c>
      <c r="D26" s="383" t="s">
        <v>93</v>
      </c>
      <c r="E26" s="384">
        <f>C26*1000</f>
        <v>12450000</v>
      </c>
      <c r="F26" s="420">
        <v>53</v>
      </c>
      <c r="G26" s="383" t="s">
        <v>99</v>
      </c>
      <c r="H26" s="405">
        <f>F26/1000000</f>
        <v>5.3000000000000001E-5</v>
      </c>
      <c r="I26" s="420">
        <f t="shared" si="1"/>
        <v>0.65985000000000005</v>
      </c>
      <c r="J26" s="421">
        <f t="shared" si="2"/>
        <v>659850</v>
      </c>
      <c r="K26" s="421">
        <f t="shared" si="3"/>
        <v>6.5985000000000002E-4</v>
      </c>
      <c r="L26" s="421">
        <f t="shared" si="4"/>
        <v>659.85</v>
      </c>
      <c r="M26" s="390">
        <f t="shared" si="5"/>
        <v>659850000</v>
      </c>
      <c r="N26" s="384">
        <v>0.65985000000000005</v>
      </c>
      <c r="O26" s="421">
        <v>659850</v>
      </c>
      <c r="P26" s="421">
        <v>6.5985000000000002E-4</v>
      </c>
      <c r="Q26" s="421">
        <v>659.85</v>
      </c>
      <c r="R26" s="384">
        <v>659850000</v>
      </c>
      <c r="S26" s="960">
        <f t="shared" si="6"/>
        <v>0</v>
      </c>
      <c r="T26" s="961">
        <f t="shared" si="7"/>
        <v>0</v>
      </c>
      <c r="U26" s="961">
        <f t="shared" si="8"/>
        <v>0</v>
      </c>
      <c r="V26" s="961">
        <f t="shared" si="9"/>
        <v>0</v>
      </c>
      <c r="W26" s="962">
        <f t="shared" si="10"/>
        <v>0</v>
      </c>
    </row>
    <row r="27" spans="3:23" x14ac:dyDescent="0.25">
      <c r="C27" s="412">
        <v>5009</v>
      </c>
      <c r="D27" s="214" t="s">
        <v>94</v>
      </c>
      <c r="E27" s="215">
        <f>C27/1000</f>
        <v>5.0090000000000003</v>
      </c>
      <c r="F27" s="412">
        <v>450</v>
      </c>
      <c r="G27" s="214" t="s">
        <v>99</v>
      </c>
      <c r="H27" s="426">
        <f>F27/1000000</f>
        <v>4.4999999999999999E-4</v>
      </c>
      <c r="I27" s="412">
        <f t="shared" si="1"/>
        <v>2.25405E-6</v>
      </c>
      <c r="J27" s="274">
        <f t="shared" si="2"/>
        <v>2.2540499999999999</v>
      </c>
      <c r="K27" s="274">
        <f t="shared" si="3"/>
        <v>2.2540500000000001E-9</v>
      </c>
      <c r="L27" s="274">
        <f t="shared" si="4"/>
        <v>2.2540500000000001E-3</v>
      </c>
      <c r="M27" s="216">
        <f t="shared" si="5"/>
        <v>2254.0500000000002</v>
      </c>
      <c r="N27" s="741">
        <v>2.25405E-6</v>
      </c>
      <c r="O27" s="274">
        <v>2.2540499999999999</v>
      </c>
      <c r="P27" s="742">
        <v>2.2540500000000001E-9</v>
      </c>
      <c r="Q27" s="274">
        <v>2.2540500000000001E-3</v>
      </c>
      <c r="R27" s="215">
        <v>2254.0500000000002</v>
      </c>
      <c r="S27" s="897">
        <f t="shared" si="6"/>
        <v>0</v>
      </c>
      <c r="T27" s="898">
        <f t="shared" si="7"/>
        <v>0</v>
      </c>
      <c r="U27" s="898">
        <f t="shared" si="8"/>
        <v>0</v>
      </c>
      <c r="V27" s="898">
        <f t="shared" si="9"/>
        <v>0</v>
      </c>
      <c r="W27" s="899">
        <f t="shared" si="10"/>
        <v>0</v>
      </c>
    </row>
    <row r="28" spans="3:23" x14ac:dyDescent="0.25">
      <c r="C28" s="412">
        <v>750</v>
      </c>
      <c r="D28" s="214" t="s">
        <v>95</v>
      </c>
      <c r="E28" s="215">
        <f>C28*1000000</f>
        <v>750000000</v>
      </c>
      <c r="F28" s="412">
        <v>840</v>
      </c>
      <c r="G28" s="214" t="s">
        <v>99</v>
      </c>
      <c r="H28" s="426">
        <f>F28/1000000</f>
        <v>8.4000000000000003E-4</v>
      </c>
      <c r="I28" s="412">
        <f t="shared" si="1"/>
        <v>630</v>
      </c>
      <c r="J28" s="274">
        <f t="shared" si="2"/>
        <v>630000000</v>
      </c>
      <c r="K28" s="274">
        <f t="shared" si="3"/>
        <v>0.63</v>
      </c>
      <c r="L28" s="274">
        <f t="shared" si="4"/>
        <v>630000</v>
      </c>
      <c r="M28" s="216">
        <f t="shared" si="5"/>
        <v>630000000000</v>
      </c>
      <c r="N28" s="215">
        <v>630</v>
      </c>
      <c r="O28" s="274">
        <v>630000000</v>
      </c>
      <c r="P28" s="274">
        <v>0.63</v>
      </c>
      <c r="Q28" s="274">
        <v>630000</v>
      </c>
      <c r="R28" s="215">
        <v>630000000000</v>
      </c>
      <c r="S28" s="897">
        <f t="shared" si="6"/>
        <v>0</v>
      </c>
      <c r="T28" s="898">
        <f t="shared" si="7"/>
        <v>0</v>
      </c>
      <c r="U28" s="898">
        <f t="shared" si="8"/>
        <v>0</v>
      </c>
      <c r="V28" s="898">
        <f t="shared" si="9"/>
        <v>0</v>
      </c>
      <c r="W28" s="899">
        <f t="shared" si="10"/>
        <v>0</v>
      </c>
    </row>
    <row r="29" spans="3:23" x14ac:dyDescent="0.25">
      <c r="C29" s="412">
        <v>4250</v>
      </c>
      <c r="D29" s="425" t="s">
        <v>96</v>
      </c>
      <c r="E29" s="215">
        <f>C29/1000000</f>
        <v>4.2500000000000003E-3</v>
      </c>
      <c r="F29" s="412">
        <v>520</v>
      </c>
      <c r="G29" s="214" t="s">
        <v>99</v>
      </c>
      <c r="H29" s="426">
        <f>F29/1000000</f>
        <v>5.1999999999999995E-4</v>
      </c>
      <c r="I29" s="412">
        <f t="shared" si="1"/>
        <v>2.21E-9</v>
      </c>
      <c r="J29" s="274">
        <f t="shared" si="2"/>
        <v>2.2100000000000002E-3</v>
      </c>
      <c r="K29" s="274">
        <f t="shared" si="3"/>
        <v>2.2100000000000001E-12</v>
      </c>
      <c r="L29" s="274">
        <f t="shared" si="4"/>
        <v>2.21E-6</v>
      </c>
      <c r="M29" s="216">
        <f t="shared" si="5"/>
        <v>2.21</v>
      </c>
      <c r="N29" s="741">
        <v>2.21E-9</v>
      </c>
      <c r="O29" s="274">
        <v>2.2100000000000002E-3</v>
      </c>
      <c r="P29" s="742">
        <v>2.2100000000000001E-12</v>
      </c>
      <c r="Q29" s="742">
        <v>2.21E-6</v>
      </c>
      <c r="R29" s="215">
        <v>2.21</v>
      </c>
      <c r="S29" s="897">
        <f t="shared" si="6"/>
        <v>0</v>
      </c>
      <c r="T29" s="898">
        <f t="shared" si="7"/>
        <v>0</v>
      </c>
      <c r="U29" s="898">
        <f t="shared" si="8"/>
        <v>0</v>
      </c>
      <c r="V29" s="898">
        <f t="shared" si="9"/>
        <v>0</v>
      </c>
      <c r="W29" s="899">
        <f t="shared" si="10"/>
        <v>0</v>
      </c>
    </row>
    <row r="30" spans="3:23" ht="15.75" thickBot="1" x14ac:dyDescent="0.3">
      <c r="C30" s="397">
        <v>82</v>
      </c>
      <c r="D30" s="398" t="s">
        <v>86</v>
      </c>
      <c r="E30" s="399">
        <f>C30</f>
        <v>82</v>
      </c>
      <c r="F30" s="397">
        <v>7.0000000000000001E-3</v>
      </c>
      <c r="G30" s="398" t="s">
        <v>99</v>
      </c>
      <c r="H30" s="427">
        <f>F30/1000000</f>
        <v>6.9999999999999998E-9</v>
      </c>
      <c r="I30" s="397">
        <f t="shared" si="1"/>
        <v>5.7399999999999998E-10</v>
      </c>
      <c r="J30" s="428">
        <f t="shared" si="2"/>
        <v>5.7400000000000007E-4</v>
      </c>
      <c r="K30" s="428">
        <f t="shared" si="3"/>
        <v>5.7400000000000008E-13</v>
      </c>
      <c r="L30" s="428">
        <f t="shared" si="4"/>
        <v>5.7400000000000003E-7</v>
      </c>
      <c r="M30" s="410">
        <f t="shared" si="5"/>
        <v>0.57400000000000007</v>
      </c>
      <c r="N30" s="743">
        <v>5.7399999999999998E-10</v>
      </c>
      <c r="O30" s="428">
        <v>5.7399999999999997E-4</v>
      </c>
      <c r="P30" s="744">
        <v>5.7399999999999998E-13</v>
      </c>
      <c r="Q30" s="744">
        <v>5.7400000000000003E-7</v>
      </c>
      <c r="R30" s="399">
        <v>0.57399999999999995</v>
      </c>
      <c r="S30" s="1030">
        <f t="shared" si="6"/>
        <v>0</v>
      </c>
      <c r="T30" s="1009">
        <f t="shared" si="7"/>
        <v>1.8888539590339795E-16</v>
      </c>
      <c r="U30" s="1009">
        <f t="shared" si="8"/>
        <v>1.7591323322001654E-16</v>
      </c>
      <c r="V30" s="1009">
        <f t="shared" si="9"/>
        <v>0</v>
      </c>
      <c r="W30" s="1010">
        <f t="shared" si="10"/>
        <v>1.9341864540507953E-16</v>
      </c>
    </row>
    <row r="31" spans="3:23" ht="15.75" thickTop="1" x14ac:dyDescent="0.25"/>
    <row r="32" spans="3:23" ht="15.75" thickBot="1" x14ac:dyDescent="0.3"/>
    <row r="33" spans="3:20" ht="15.75" thickTop="1" x14ac:dyDescent="0.25">
      <c r="C33" s="2488" t="s">
        <v>0</v>
      </c>
      <c r="D33" s="2489"/>
      <c r="E33" s="2489"/>
      <c r="F33" s="2489"/>
      <c r="G33" s="2489"/>
      <c r="H33" s="2489"/>
      <c r="I33" s="2483" t="s">
        <v>158</v>
      </c>
      <c r="J33" s="2484"/>
      <c r="K33" s="2484"/>
      <c r="L33" s="2485"/>
      <c r="M33" s="2488" t="s">
        <v>17</v>
      </c>
      <c r="N33" s="2489"/>
      <c r="O33" s="2489"/>
      <c r="P33" s="2495"/>
      <c r="Q33" s="2484" t="s">
        <v>8</v>
      </c>
      <c r="R33" s="2484"/>
      <c r="S33" s="2484"/>
      <c r="T33" s="2485"/>
    </row>
    <row r="34" spans="3:20" ht="15.75" thickBot="1" x14ac:dyDescent="0.3">
      <c r="C34" s="2524" t="s">
        <v>142</v>
      </c>
      <c r="D34" s="2525"/>
      <c r="E34" s="2525"/>
      <c r="F34" s="2524" t="s">
        <v>144</v>
      </c>
      <c r="G34" s="2525"/>
      <c r="H34" s="2526"/>
      <c r="I34" s="2527" t="s">
        <v>143</v>
      </c>
      <c r="J34" s="2528"/>
      <c r="K34" s="2528"/>
      <c r="L34" s="2529"/>
      <c r="M34" s="2524" t="s">
        <v>143</v>
      </c>
      <c r="N34" s="2525"/>
      <c r="O34" s="2525"/>
      <c r="P34" s="2526"/>
      <c r="Q34" s="2527" t="s">
        <v>143</v>
      </c>
      <c r="R34" s="2528"/>
      <c r="S34" s="2528"/>
      <c r="T34" s="2529"/>
    </row>
    <row r="35" spans="3:20" ht="16.5" thickTop="1" thickBot="1" x14ac:dyDescent="0.3">
      <c r="C35" s="685" t="s">
        <v>3</v>
      </c>
      <c r="D35" s="753" t="s">
        <v>4</v>
      </c>
      <c r="E35" s="802" t="s">
        <v>86</v>
      </c>
      <c r="F35" s="685" t="s">
        <v>3</v>
      </c>
      <c r="G35" s="753" t="s">
        <v>4</v>
      </c>
      <c r="H35" s="687" t="s">
        <v>91</v>
      </c>
      <c r="I35" s="815" t="s">
        <v>87</v>
      </c>
      <c r="J35" s="810" t="s">
        <v>97</v>
      </c>
      <c r="K35" s="810" t="s">
        <v>98</v>
      </c>
      <c r="L35" s="816" t="s">
        <v>99</v>
      </c>
      <c r="M35" s="754" t="s">
        <v>87</v>
      </c>
      <c r="N35" s="686" t="s">
        <v>97</v>
      </c>
      <c r="O35" s="686" t="s">
        <v>98</v>
      </c>
      <c r="P35" s="753" t="s">
        <v>99</v>
      </c>
      <c r="Q35" s="815" t="s">
        <v>87</v>
      </c>
      <c r="R35" s="810" t="s">
        <v>97</v>
      </c>
      <c r="S35" s="810" t="s">
        <v>98</v>
      </c>
      <c r="T35" s="817" t="s">
        <v>99</v>
      </c>
    </row>
    <row r="36" spans="3:20" ht="15.75" thickTop="1" x14ac:dyDescent="0.25">
      <c r="C36" s="968">
        <v>3</v>
      </c>
      <c r="D36" s="964" t="s">
        <v>93</v>
      </c>
      <c r="E36" s="965">
        <f>C36*1000</f>
        <v>3000</v>
      </c>
      <c r="F36" s="968">
        <v>12</v>
      </c>
      <c r="G36" s="964" t="s">
        <v>88</v>
      </c>
      <c r="H36" s="967">
        <f>F36*1000</f>
        <v>12000</v>
      </c>
      <c r="I36" s="968">
        <f>H36/E36</f>
        <v>4</v>
      </c>
      <c r="J36" s="1085">
        <f>I36/1000</f>
        <v>4.0000000000000001E-3</v>
      </c>
      <c r="K36" s="1085">
        <f>I36*1000</f>
        <v>4000</v>
      </c>
      <c r="L36" s="967">
        <f>I36*1000000</f>
        <v>4000000</v>
      </c>
      <c r="M36" s="968">
        <v>4</v>
      </c>
      <c r="N36" s="1085">
        <v>4.0000000000000001E-3</v>
      </c>
      <c r="O36" s="1085">
        <v>4000</v>
      </c>
      <c r="P36" s="967">
        <v>4000000</v>
      </c>
      <c r="Q36" s="1104">
        <f xml:space="preserve"> (I36-M36)/I36</f>
        <v>0</v>
      </c>
      <c r="R36" s="886">
        <f xml:space="preserve"> (J36-N36)/J36</f>
        <v>0</v>
      </c>
      <c r="S36" s="886">
        <f xml:space="preserve"> (K36-O36)/K36</f>
        <v>0</v>
      </c>
      <c r="T36" s="887">
        <f xml:space="preserve"> (L36-P36)/L36</f>
        <v>0</v>
      </c>
    </row>
    <row r="37" spans="3:20" x14ac:dyDescent="0.25">
      <c r="C37" s="1059">
        <v>56</v>
      </c>
      <c r="D37" s="59" t="s">
        <v>94</v>
      </c>
      <c r="E37" s="32">
        <f>C37/1000</f>
        <v>5.6000000000000001E-2</v>
      </c>
      <c r="F37" s="1059">
        <v>0.8</v>
      </c>
      <c r="G37" s="59" t="s">
        <v>88</v>
      </c>
      <c r="H37" s="889">
        <f t="shared" ref="H37:H40" si="11">F37*1000</f>
        <v>800</v>
      </c>
      <c r="I37" s="1059">
        <f t="shared" ref="I37:I60" si="12">H37/E37</f>
        <v>14285.714285714286</v>
      </c>
      <c r="J37" s="1060">
        <f t="shared" ref="J37:J60" si="13">I37/1000</f>
        <v>14.285714285714286</v>
      </c>
      <c r="K37" s="1060">
        <f t="shared" ref="K37:K60" si="14">I37*1000</f>
        <v>14285714.285714285</v>
      </c>
      <c r="L37" s="889">
        <f t="shared" ref="L37:L60" si="15">I37*1000000</f>
        <v>14285714285.714287</v>
      </c>
      <c r="M37" s="1059">
        <v>14285.7</v>
      </c>
      <c r="N37" s="1060">
        <v>14.2857</v>
      </c>
      <c r="O37" s="1060">
        <v>14285714</v>
      </c>
      <c r="P37" s="889">
        <v>14285714286</v>
      </c>
      <c r="Q37" s="1115">
        <f t="shared" ref="Q37:Q60" si="16" xml:space="preserve"> (I37-M37)/I37</f>
        <v>9.9999999998544814E-7</v>
      </c>
      <c r="R37" s="898">
        <f t="shared" ref="R37:R60" si="17" xml:space="preserve"> (J37-N37)/J37</f>
        <v>1.0000000000331964E-6</v>
      </c>
      <c r="S37" s="898">
        <f t="shared" ref="S37:S60" si="18" xml:space="preserve"> (K37-O37)/K37</f>
        <v>1.9999999981373547E-8</v>
      </c>
      <c r="T37" s="899">
        <f t="shared" ref="T37:T60" si="19" xml:space="preserve"> (L37-P37)/L37</f>
        <v>-1.9999923706054687E-11</v>
      </c>
    </row>
    <row r="38" spans="3:20" x14ac:dyDescent="0.25">
      <c r="C38" s="1059">
        <v>950</v>
      </c>
      <c r="D38" s="59" t="s">
        <v>95</v>
      </c>
      <c r="E38" s="32">
        <f>C38*1000000</f>
        <v>950000000</v>
      </c>
      <c r="F38" s="1059">
        <v>487</v>
      </c>
      <c r="G38" s="59" t="s">
        <v>88</v>
      </c>
      <c r="H38" s="889">
        <f t="shared" si="11"/>
        <v>487000</v>
      </c>
      <c r="I38" s="1059">
        <f t="shared" si="12"/>
        <v>5.1263157894736839E-4</v>
      </c>
      <c r="J38" s="1060">
        <f t="shared" si="13"/>
        <v>5.1263157894736841E-7</v>
      </c>
      <c r="K38" s="1060">
        <f t="shared" si="14"/>
        <v>0.51263157894736844</v>
      </c>
      <c r="L38" s="889">
        <f t="shared" si="15"/>
        <v>512.63157894736844</v>
      </c>
      <c r="M38" s="1059">
        <v>5.1263199999999995E-4</v>
      </c>
      <c r="N38" s="1110">
        <v>5.1263157894736798E-7</v>
      </c>
      <c r="O38" s="1060">
        <v>0.51263199999999998</v>
      </c>
      <c r="P38" s="889">
        <v>512.63199999999995</v>
      </c>
      <c r="Q38" s="1115">
        <f t="shared" si="16"/>
        <v>-8.2135523610803717E-7</v>
      </c>
      <c r="R38" s="898">
        <f t="shared" si="17"/>
        <v>8.2616149886199727E-16</v>
      </c>
      <c r="S38" s="898">
        <f t="shared" si="18"/>
        <v>-8.2135523606066166E-7</v>
      </c>
      <c r="T38" s="899">
        <f t="shared" si="19"/>
        <v>-8.213552360034863E-7</v>
      </c>
    </row>
    <row r="39" spans="3:20" x14ac:dyDescent="0.25">
      <c r="C39" s="1059">
        <v>1250</v>
      </c>
      <c r="D39" s="1114" t="s">
        <v>96</v>
      </c>
      <c r="E39" s="32">
        <f>C39/1000000</f>
        <v>1.25E-3</v>
      </c>
      <c r="F39" s="1059">
        <v>601</v>
      </c>
      <c r="G39" s="59" t="s">
        <v>88</v>
      </c>
      <c r="H39" s="889">
        <f t="shared" si="11"/>
        <v>601000</v>
      </c>
      <c r="I39" s="1059">
        <f t="shared" si="12"/>
        <v>480800000</v>
      </c>
      <c r="J39" s="1060">
        <f t="shared" si="13"/>
        <v>480800</v>
      </c>
      <c r="K39" s="1060">
        <f t="shared" si="14"/>
        <v>480800000000</v>
      </c>
      <c r="L39" s="889">
        <f t="shared" si="15"/>
        <v>480800000000000</v>
      </c>
      <c r="M39" s="1059">
        <v>480800000</v>
      </c>
      <c r="N39" s="1060">
        <v>480800</v>
      </c>
      <c r="O39" s="1060">
        <v>480800000000</v>
      </c>
      <c r="P39" s="889">
        <v>480800000000000</v>
      </c>
      <c r="Q39" s="1115">
        <f t="shared" si="16"/>
        <v>0</v>
      </c>
      <c r="R39" s="898">
        <f t="shared" si="17"/>
        <v>0</v>
      </c>
      <c r="S39" s="898">
        <f t="shared" si="18"/>
        <v>0</v>
      </c>
      <c r="T39" s="899">
        <f t="shared" si="19"/>
        <v>0</v>
      </c>
    </row>
    <row r="40" spans="3:20" ht="15.75" thickBot="1" x14ac:dyDescent="0.3">
      <c r="C40" s="1064">
        <v>0.8</v>
      </c>
      <c r="D40" s="953" t="s">
        <v>86</v>
      </c>
      <c r="E40" s="1065">
        <f>C40</f>
        <v>0.8</v>
      </c>
      <c r="F40" s="1064">
        <v>1268</v>
      </c>
      <c r="G40" s="953" t="s">
        <v>88</v>
      </c>
      <c r="H40" s="954">
        <f t="shared" si="11"/>
        <v>1268000</v>
      </c>
      <c r="I40" s="1064">
        <f t="shared" si="12"/>
        <v>1585000</v>
      </c>
      <c r="J40" s="1066">
        <f t="shared" si="13"/>
        <v>1585</v>
      </c>
      <c r="K40" s="1066">
        <f t="shared" si="14"/>
        <v>1585000000</v>
      </c>
      <c r="L40" s="954">
        <f t="shared" si="15"/>
        <v>1585000000000</v>
      </c>
      <c r="M40" s="1064">
        <v>1585000</v>
      </c>
      <c r="N40" s="1066">
        <v>1585</v>
      </c>
      <c r="O40" s="1066">
        <v>1585000000</v>
      </c>
      <c r="P40" s="954">
        <v>1585000000000</v>
      </c>
      <c r="Q40" s="1116">
        <f t="shared" si="16"/>
        <v>0</v>
      </c>
      <c r="R40" s="912">
        <f t="shared" si="17"/>
        <v>0</v>
      </c>
      <c r="S40" s="912">
        <f t="shared" si="18"/>
        <v>0</v>
      </c>
      <c r="T40" s="913">
        <f t="shared" si="19"/>
        <v>0</v>
      </c>
    </row>
    <row r="41" spans="3:20" ht="15.75" thickTop="1" x14ac:dyDescent="0.25">
      <c r="C41" s="1431">
        <v>7.0000000000000001E-3</v>
      </c>
      <c r="D41" s="1333" t="s">
        <v>93</v>
      </c>
      <c r="E41" s="1334">
        <f>C41*1000</f>
        <v>7</v>
      </c>
      <c r="F41" s="1431">
        <v>7</v>
      </c>
      <c r="G41" s="1333" t="s">
        <v>89</v>
      </c>
      <c r="H41" s="1370">
        <f>F41/1000</f>
        <v>7.0000000000000001E-3</v>
      </c>
      <c r="I41" s="1431">
        <f t="shared" si="12"/>
        <v>1E-3</v>
      </c>
      <c r="J41" s="1442">
        <f t="shared" si="13"/>
        <v>9.9999999999999995E-7</v>
      </c>
      <c r="K41" s="1442">
        <f t="shared" si="14"/>
        <v>1</v>
      </c>
      <c r="L41" s="1370">
        <f t="shared" si="15"/>
        <v>1000</v>
      </c>
      <c r="M41" s="1431">
        <v>1E-3</v>
      </c>
      <c r="N41" s="1497">
        <v>9.9999999999999995E-7</v>
      </c>
      <c r="O41" s="1442">
        <v>1</v>
      </c>
      <c r="P41" s="1370">
        <v>1000</v>
      </c>
      <c r="Q41" s="1432">
        <f t="shared" si="16"/>
        <v>0</v>
      </c>
      <c r="R41" s="1266">
        <f t="shared" si="17"/>
        <v>0</v>
      </c>
      <c r="S41" s="1266">
        <f t="shared" si="18"/>
        <v>0</v>
      </c>
      <c r="T41" s="1267">
        <f t="shared" si="19"/>
        <v>0</v>
      </c>
    </row>
    <row r="42" spans="3:20" x14ac:dyDescent="0.25">
      <c r="C42" s="1435">
        <v>12</v>
      </c>
      <c r="D42" s="1269" t="s">
        <v>94</v>
      </c>
      <c r="E42" s="1254">
        <f>C42/1000</f>
        <v>1.2E-2</v>
      </c>
      <c r="F42" s="1435">
        <v>37</v>
      </c>
      <c r="G42" s="1269" t="s">
        <v>89</v>
      </c>
      <c r="H42" s="1270">
        <f t="shared" ref="H42:H45" si="20">F42/1000</f>
        <v>3.6999999999999998E-2</v>
      </c>
      <c r="I42" s="1435">
        <f t="shared" si="12"/>
        <v>3.083333333333333</v>
      </c>
      <c r="J42" s="1446">
        <f t="shared" si="13"/>
        <v>3.0833333333333329E-3</v>
      </c>
      <c r="K42" s="1446">
        <f t="shared" si="14"/>
        <v>3083.333333333333</v>
      </c>
      <c r="L42" s="1270">
        <f t="shared" si="15"/>
        <v>3083333.333333333</v>
      </c>
      <c r="M42" s="1435">
        <v>3.0833300000000001</v>
      </c>
      <c r="N42" s="1446">
        <v>3.08333E-3</v>
      </c>
      <c r="O42" s="1446">
        <v>3083.33</v>
      </c>
      <c r="P42" s="1270">
        <v>3083333</v>
      </c>
      <c r="Q42" s="1498">
        <f t="shared" si="16"/>
        <v>1.0810810809441346E-6</v>
      </c>
      <c r="R42" s="1278">
        <f t="shared" si="17"/>
        <v>1.0810810809340077E-6</v>
      </c>
      <c r="S42" s="1278">
        <f t="shared" si="18"/>
        <v>1.0810810810063551E-6</v>
      </c>
      <c r="T42" s="1279">
        <f t="shared" si="19"/>
        <v>1.081081080074246E-7</v>
      </c>
    </row>
    <row r="43" spans="3:20" x14ac:dyDescent="0.25">
      <c r="C43" s="1435">
        <v>0.9</v>
      </c>
      <c r="D43" s="1269" t="s">
        <v>95</v>
      </c>
      <c r="E43" s="1254">
        <f>C43*1000000</f>
        <v>900000</v>
      </c>
      <c r="F43" s="1435">
        <v>0.08</v>
      </c>
      <c r="G43" s="1269" t="s">
        <v>89</v>
      </c>
      <c r="H43" s="1270">
        <f t="shared" si="20"/>
        <v>8.0000000000000007E-5</v>
      </c>
      <c r="I43" s="1435">
        <f t="shared" si="12"/>
        <v>8.8888888888888901E-11</v>
      </c>
      <c r="J43" s="1446">
        <f t="shared" si="13"/>
        <v>8.8888888888888896E-14</v>
      </c>
      <c r="K43" s="1446">
        <f t="shared" si="14"/>
        <v>8.8888888888888895E-8</v>
      </c>
      <c r="L43" s="1270">
        <f t="shared" si="15"/>
        <v>8.8888888888888907E-5</v>
      </c>
      <c r="M43" s="1499">
        <v>8.8888888888888901E-11</v>
      </c>
      <c r="N43" s="1477">
        <v>8.8888888888888896E-14</v>
      </c>
      <c r="O43" s="1477">
        <v>8.8888888888888895E-8</v>
      </c>
      <c r="P43" s="1500">
        <v>8.8888888888888907E-5</v>
      </c>
      <c r="Q43" s="1498">
        <f t="shared" si="16"/>
        <v>0</v>
      </c>
      <c r="R43" s="1278">
        <f t="shared" si="17"/>
        <v>0</v>
      </c>
      <c r="S43" s="1278">
        <f t="shared" si="18"/>
        <v>0</v>
      </c>
      <c r="T43" s="1279">
        <f t="shared" si="19"/>
        <v>0</v>
      </c>
    </row>
    <row r="44" spans="3:20" x14ac:dyDescent="0.25">
      <c r="C44" s="1435">
        <v>4.1000000000000003E-3</v>
      </c>
      <c r="D44" s="1496" t="s">
        <v>96</v>
      </c>
      <c r="E44" s="1254">
        <f>C44/1000000</f>
        <v>4.1000000000000003E-9</v>
      </c>
      <c r="F44" s="1435">
        <v>7.0000000000000001E-3</v>
      </c>
      <c r="G44" s="1269" t="s">
        <v>89</v>
      </c>
      <c r="H44" s="1270">
        <f t="shared" si="20"/>
        <v>6.9999999999999999E-6</v>
      </c>
      <c r="I44" s="1435">
        <f t="shared" si="12"/>
        <v>1707.3170731707316</v>
      </c>
      <c r="J44" s="1446">
        <f t="shared" si="13"/>
        <v>1.7073170731707317</v>
      </c>
      <c r="K44" s="1446">
        <f t="shared" si="14"/>
        <v>1707317.0731707315</v>
      </c>
      <c r="L44" s="1270">
        <f t="shared" si="15"/>
        <v>1707317073.1707315</v>
      </c>
      <c r="M44" s="1435">
        <v>1707.32</v>
      </c>
      <c r="N44" s="1446">
        <v>1.7073199999999999</v>
      </c>
      <c r="O44" s="1446">
        <v>1707317</v>
      </c>
      <c r="P44" s="1270">
        <v>1707317073</v>
      </c>
      <c r="Q44" s="1498">
        <f t="shared" si="16"/>
        <v>-1.7142857142841553E-6</v>
      </c>
      <c r="R44" s="1278">
        <f t="shared" si="17"/>
        <v>-1.7142857142779125E-6</v>
      </c>
      <c r="S44" s="1278">
        <f t="shared" si="18"/>
        <v>4.2857142760684453E-8</v>
      </c>
      <c r="T44" s="1279">
        <f t="shared" si="19"/>
        <v>9.9999904632568369E-11</v>
      </c>
    </row>
    <row r="45" spans="3:20" ht="15.75" thickBot="1" x14ac:dyDescent="0.3">
      <c r="C45" s="1440">
        <v>124</v>
      </c>
      <c r="D45" s="1348" t="s">
        <v>86</v>
      </c>
      <c r="E45" s="1351">
        <f>C45</f>
        <v>124</v>
      </c>
      <c r="F45" s="1440">
        <v>480</v>
      </c>
      <c r="G45" s="1348" t="s">
        <v>89</v>
      </c>
      <c r="H45" s="1375">
        <f t="shared" si="20"/>
        <v>0.48</v>
      </c>
      <c r="I45" s="1440">
        <f t="shared" si="12"/>
        <v>3.8709677419354839E-3</v>
      </c>
      <c r="J45" s="1451">
        <f t="shared" si="13"/>
        <v>3.870967741935484E-6</v>
      </c>
      <c r="K45" s="1451">
        <f t="shared" si="14"/>
        <v>3.870967741935484</v>
      </c>
      <c r="L45" s="1375">
        <f t="shared" si="15"/>
        <v>3870.9677419354839</v>
      </c>
      <c r="M45" s="1440">
        <v>3.8709700000000001E-3</v>
      </c>
      <c r="N45" s="1501">
        <v>3.8709677419354798E-6</v>
      </c>
      <c r="O45" s="1451">
        <v>3.8709699999999998</v>
      </c>
      <c r="P45" s="1375">
        <v>3870.97</v>
      </c>
      <c r="Q45" s="1493">
        <f t="shared" si="16"/>
        <v>-5.833333333479391E-7</v>
      </c>
      <c r="R45" s="1297">
        <f t="shared" si="17"/>
        <v>1.0940842235368045E-15</v>
      </c>
      <c r="S45" s="1297">
        <f t="shared" si="18"/>
        <v>-5.8333333325203771E-7</v>
      </c>
      <c r="T45" s="1298">
        <f t="shared" si="19"/>
        <v>-5.8333333327406459E-7</v>
      </c>
    </row>
    <row r="46" spans="3:20" ht="15.75" thickTop="1" x14ac:dyDescent="0.25">
      <c r="C46" s="313">
        <v>236</v>
      </c>
      <c r="D46" s="61" t="s">
        <v>93</v>
      </c>
      <c r="E46" s="45">
        <f>C46*1000</f>
        <v>236000</v>
      </c>
      <c r="F46" s="313">
        <v>120</v>
      </c>
      <c r="G46" s="61" t="s">
        <v>90</v>
      </c>
      <c r="H46" s="48">
        <f>F46*1000000</f>
        <v>120000000</v>
      </c>
      <c r="I46" s="313">
        <f t="shared" si="12"/>
        <v>508.47457627118644</v>
      </c>
      <c r="J46" s="314">
        <f t="shared" si="13"/>
        <v>0.50847457627118642</v>
      </c>
      <c r="K46" s="314">
        <f t="shared" si="14"/>
        <v>508474.57627118641</v>
      </c>
      <c r="L46" s="48">
        <f t="shared" si="15"/>
        <v>508474576.27118641</v>
      </c>
      <c r="M46" s="750">
        <v>508.47500000000002</v>
      </c>
      <c r="N46" s="747">
        <v>0.50847500000000001</v>
      </c>
      <c r="O46" s="314">
        <v>508475</v>
      </c>
      <c r="P46" s="48">
        <v>508474576</v>
      </c>
      <c r="Q46" s="299">
        <f t="shared" si="16"/>
        <v>-8.3333333338752406E-7</v>
      </c>
      <c r="R46" s="191">
        <f t="shared" si="17"/>
        <v>-8.3333333339800461E-7</v>
      </c>
      <c r="S46" s="191">
        <f t="shared" si="18"/>
        <v>-8.3333333339736182E-7</v>
      </c>
      <c r="T46" s="192">
        <f t="shared" si="19"/>
        <v>5.3333327571551006E-10</v>
      </c>
    </row>
    <row r="47" spans="3:20" x14ac:dyDescent="0.25">
      <c r="C47" s="310">
        <v>47</v>
      </c>
      <c r="D47" s="62" t="s">
        <v>94</v>
      </c>
      <c r="E47" s="34">
        <f>C47/1000</f>
        <v>4.7E-2</v>
      </c>
      <c r="F47" s="310">
        <v>470</v>
      </c>
      <c r="G47" s="62" t="s">
        <v>90</v>
      </c>
      <c r="H47" s="35">
        <f t="shared" ref="H47:H50" si="21">F47*1000000</f>
        <v>470000000</v>
      </c>
      <c r="I47" s="310">
        <f t="shared" si="12"/>
        <v>10000000000</v>
      </c>
      <c r="J47" s="117">
        <f t="shared" si="13"/>
        <v>10000000</v>
      </c>
      <c r="K47" s="117">
        <f t="shared" si="14"/>
        <v>10000000000000</v>
      </c>
      <c r="L47" s="35">
        <f t="shared" si="15"/>
        <v>1E+16</v>
      </c>
      <c r="M47" s="310">
        <v>10000000000</v>
      </c>
      <c r="N47" s="117">
        <v>10000000</v>
      </c>
      <c r="O47" s="117">
        <v>10000000000000</v>
      </c>
      <c r="P47" s="722">
        <v>1E+16</v>
      </c>
      <c r="Q47" s="334">
        <f t="shared" si="16"/>
        <v>0</v>
      </c>
      <c r="R47" s="156">
        <f t="shared" si="17"/>
        <v>0</v>
      </c>
      <c r="S47" s="156">
        <f t="shared" si="18"/>
        <v>0</v>
      </c>
      <c r="T47" s="157">
        <f t="shared" si="19"/>
        <v>0</v>
      </c>
    </row>
    <row r="48" spans="3:20" x14ac:dyDescent="0.25">
      <c r="C48" s="310">
        <v>1.9</v>
      </c>
      <c r="D48" s="62" t="s">
        <v>95</v>
      </c>
      <c r="E48" s="34">
        <f>C48*1000000</f>
        <v>1900000</v>
      </c>
      <c r="F48" s="310">
        <v>960</v>
      </c>
      <c r="G48" s="62" t="s">
        <v>90</v>
      </c>
      <c r="H48" s="35">
        <f t="shared" si="21"/>
        <v>960000000</v>
      </c>
      <c r="I48" s="310">
        <f t="shared" si="12"/>
        <v>505.26315789473682</v>
      </c>
      <c r="J48" s="117">
        <f t="shared" si="13"/>
        <v>0.50526315789473686</v>
      </c>
      <c r="K48" s="117">
        <f t="shared" si="14"/>
        <v>505263.1578947368</v>
      </c>
      <c r="L48" s="35">
        <f t="shared" si="15"/>
        <v>505263157.89473683</v>
      </c>
      <c r="M48" s="310">
        <v>505.26299999999998</v>
      </c>
      <c r="N48" s="117">
        <v>0.50526300000000002</v>
      </c>
      <c r="O48" s="117">
        <v>505263</v>
      </c>
      <c r="P48" s="35">
        <v>505263158</v>
      </c>
      <c r="Q48" s="334">
        <f t="shared" si="16"/>
        <v>3.1250000000445277E-7</v>
      </c>
      <c r="R48" s="156">
        <f t="shared" si="17"/>
        <v>3.1249999999742129E-7</v>
      </c>
      <c r="S48" s="156">
        <f t="shared" si="18"/>
        <v>3.1249999990905055E-7</v>
      </c>
      <c r="T48" s="157">
        <f t="shared" si="19"/>
        <v>-2.0833336437741917E-10</v>
      </c>
    </row>
    <row r="49" spans="3:23" x14ac:dyDescent="0.25">
      <c r="C49" s="310">
        <v>1258</v>
      </c>
      <c r="D49" s="320" t="s">
        <v>96</v>
      </c>
      <c r="E49" s="34">
        <f>C49/1000000</f>
        <v>1.258E-3</v>
      </c>
      <c r="F49" s="310">
        <v>6.7</v>
      </c>
      <c r="G49" s="62" t="s">
        <v>90</v>
      </c>
      <c r="H49" s="35">
        <f t="shared" si="21"/>
        <v>6700000</v>
      </c>
      <c r="I49" s="310">
        <f t="shared" si="12"/>
        <v>5325914149.4435616</v>
      </c>
      <c r="J49" s="117">
        <f t="shared" si="13"/>
        <v>5325914.1494435612</v>
      </c>
      <c r="K49" s="117">
        <f t="shared" si="14"/>
        <v>5325914149443.5615</v>
      </c>
      <c r="L49" s="35">
        <f t="shared" si="15"/>
        <v>5325914149443562</v>
      </c>
      <c r="M49" s="310">
        <v>5325914149</v>
      </c>
      <c r="N49" s="117">
        <v>5325914</v>
      </c>
      <c r="O49" s="117">
        <v>5325914149444</v>
      </c>
      <c r="P49" s="722">
        <v>5325914149443560</v>
      </c>
      <c r="Q49" s="334">
        <f t="shared" si="16"/>
        <v>8.3283646996341523E-11</v>
      </c>
      <c r="R49" s="156">
        <f t="shared" si="17"/>
        <v>2.8059701493093327E-8</v>
      </c>
      <c r="S49" s="156">
        <f t="shared" si="18"/>
        <v>-8.2328882929104471E-14</v>
      </c>
      <c r="T49" s="157">
        <f t="shared" si="19"/>
        <v>3.7552238805970145E-16</v>
      </c>
    </row>
    <row r="50" spans="3:23" ht="15.75" thickBot="1" x14ac:dyDescent="0.3">
      <c r="C50" s="316">
        <v>4.0000000000000001E-3</v>
      </c>
      <c r="D50" s="290" t="s">
        <v>86</v>
      </c>
      <c r="E50" s="294">
        <f>C50</f>
        <v>4.0000000000000001E-3</v>
      </c>
      <c r="F50" s="316">
        <v>5.0000000000000001E-3</v>
      </c>
      <c r="G50" s="290" t="s">
        <v>90</v>
      </c>
      <c r="H50" s="291">
        <f t="shared" si="21"/>
        <v>5000</v>
      </c>
      <c r="I50" s="316">
        <f t="shared" si="12"/>
        <v>1250000</v>
      </c>
      <c r="J50" s="317">
        <f t="shared" si="13"/>
        <v>1250</v>
      </c>
      <c r="K50" s="317">
        <f t="shared" si="14"/>
        <v>1250000000</v>
      </c>
      <c r="L50" s="291">
        <f t="shared" si="15"/>
        <v>1250000000000</v>
      </c>
      <c r="M50" s="316">
        <v>1250000</v>
      </c>
      <c r="N50" s="317">
        <v>1250</v>
      </c>
      <c r="O50" s="317">
        <v>1250000000</v>
      </c>
      <c r="P50" s="291">
        <v>1250000000000</v>
      </c>
      <c r="Q50" s="735">
        <f t="shared" si="16"/>
        <v>0</v>
      </c>
      <c r="R50" s="163">
        <f t="shared" si="17"/>
        <v>0</v>
      </c>
      <c r="S50" s="163">
        <f t="shared" si="18"/>
        <v>0</v>
      </c>
      <c r="T50" s="164">
        <f t="shared" si="19"/>
        <v>0</v>
      </c>
    </row>
    <row r="51" spans="3:23" ht="15.75" thickTop="1" x14ac:dyDescent="0.25">
      <c r="C51" s="420">
        <v>189</v>
      </c>
      <c r="D51" s="383" t="s">
        <v>93</v>
      </c>
      <c r="E51" s="384">
        <f>C51*1000</f>
        <v>189000</v>
      </c>
      <c r="F51" s="420">
        <v>341</v>
      </c>
      <c r="G51" s="383" t="s">
        <v>91</v>
      </c>
      <c r="H51" s="390">
        <f>F51</f>
        <v>341</v>
      </c>
      <c r="I51" s="420">
        <f t="shared" si="12"/>
        <v>1.8042328042328043E-3</v>
      </c>
      <c r="J51" s="421">
        <f t="shared" si="13"/>
        <v>1.8042328042328043E-6</v>
      </c>
      <c r="K51" s="421">
        <f t="shared" si="14"/>
        <v>1.8042328042328042</v>
      </c>
      <c r="L51" s="390">
        <f t="shared" si="15"/>
        <v>1804.2328042328043</v>
      </c>
      <c r="M51" s="420">
        <v>1.80423E-3</v>
      </c>
      <c r="N51" s="748">
        <v>1.8042328042328E-6</v>
      </c>
      <c r="O51" s="421">
        <v>1.80423</v>
      </c>
      <c r="P51" s="390">
        <v>1804.23</v>
      </c>
      <c r="Q51" s="628">
        <f t="shared" si="16"/>
        <v>1.5542521994500439E-6</v>
      </c>
      <c r="R51" s="211">
        <f t="shared" si="17"/>
        <v>2.347349369956932E-15</v>
      </c>
      <c r="S51" s="211">
        <f t="shared" si="18"/>
        <v>1.5542521993885095E-6</v>
      </c>
      <c r="T51" s="212">
        <f t="shared" si="19"/>
        <v>1.5542521994160768E-6</v>
      </c>
    </row>
    <row r="52" spans="3:23" x14ac:dyDescent="0.25">
      <c r="C52" s="412">
        <v>502</v>
      </c>
      <c r="D52" s="214" t="s">
        <v>94</v>
      </c>
      <c r="E52" s="215">
        <f>C52/1000</f>
        <v>0.502</v>
      </c>
      <c r="F52" s="412">
        <v>51</v>
      </c>
      <c r="G52" s="214" t="s">
        <v>91</v>
      </c>
      <c r="H52" s="216">
        <f>F52</f>
        <v>51</v>
      </c>
      <c r="I52" s="412">
        <f t="shared" si="12"/>
        <v>101.59362549800797</v>
      </c>
      <c r="J52" s="274">
        <f t="shared" si="13"/>
        <v>0.10159362549800796</v>
      </c>
      <c r="K52" s="274">
        <f t="shared" si="14"/>
        <v>101593.62549800797</v>
      </c>
      <c r="L52" s="216">
        <f t="shared" si="15"/>
        <v>101593625.49800797</v>
      </c>
      <c r="M52" s="412">
        <v>101.59399999999999</v>
      </c>
      <c r="N52" s="274">
        <v>0.101594</v>
      </c>
      <c r="O52" s="274">
        <v>101594</v>
      </c>
      <c r="P52" s="216">
        <v>101593625</v>
      </c>
      <c r="Q52" s="745">
        <f t="shared" si="16"/>
        <v>-3.686274509759664E-6</v>
      </c>
      <c r="R52" s="222">
        <f t="shared" si="17"/>
        <v>-3.6862745099093787E-6</v>
      </c>
      <c r="S52" s="222">
        <f t="shared" si="18"/>
        <v>-3.6862745098010682E-6</v>
      </c>
      <c r="T52" s="223">
        <f t="shared" si="19"/>
        <v>4.9019607837293662E-9</v>
      </c>
    </row>
    <row r="53" spans="3:23" x14ac:dyDescent="0.25">
      <c r="C53" s="412">
        <v>960</v>
      </c>
      <c r="D53" s="214" t="s">
        <v>95</v>
      </c>
      <c r="E53" s="215">
        <f>C53*1000000</f>
        <v>960000000</v>
      </c>
      <c r="F53" s="412">
        <v>8</v>
      </c>
      <c r="G53" s="214" t="s">
        <v>91</v>
      </c>
      <c r="H53" s="216">
        <f>F53</f>
        <v>8</v>
      </c>
      <c r="I53" s="412">
        <f t="shared" si="12"/>
        <v>8.3333333333333335E-9</v>
      </c>
      <c r="J53" s="274">
        <f t="shared" si="13"/>
        <v>8.3333333333333336E-12</v>
      </c>
      <c r="K53" s="274">
        <f t="shared" si="14"/>
        <v>8.3333333333333337E-6</v>
      </c>
      <c r="L53" s="216">
        <f t="shared" si="15"/>
        <v>8.3333333333333332E-3</v>
      </c>
      <c r="M53" s="746">
        <v>8.3333333333333302E-9</v>
      </c>
      <c r="N53" s="742">
        <v>8.3333333333333304E-12</v>
      </c>
      <c r="O53" s="742">
        <v>8.3333333333333303E-6</v>
      </c>
      <c r="P53" s="216">
        <v>8.3333299999999999E-3</v>
      </c>
      <c r="Q53" s="745">
        <f t="shared" si="16"/>
        <v>3.9704669402545328E-16</v>
      </c>
      <c r="R53" s="222">
        <f t="shared" si="17"/>
        <v>3.8774091213423172E-16</v>
      </c>
      <c r="S53" s="222">
        <f t="shared" si="18"/>
        <v>4.0657581468206416E-16</v>
      </c>
      <c r="T53" s="223">
        <f t="shared" si="19"/>
        <v>3.9999999999762448E-7</v>
      </c>
    </row>
    <row r="54" spans="3:23" x14ac:dyDescent="0.25">
      <c r="C54" s="412">
        <v>0.31</v>
      </c>
      <c r="D54" s="425" t="s">
        <v>96</v>
      </c>
      <c r="E54" s="215">
        <f>C54/1000000</f>
        <v>3.1E-7</v>
      </c>
      <c r="F54" s="412">
        <v>61</v>
      </c>
      <c r="G54" s="214" t="s">
        <v>91</v>
      </c>
      <c r="H54" s="216">
        <f>F54</f>
        <v>61</v>
      </c>
      <c r="I54" s="412">
        <f t="shared" si="12"/>
        <v>196774193.54838711</v>
      </c>
      <c r="J54" s="274">
        <f t="shared" si="13"/>
        <v>196774.19354838712</v>
      </c>
      <c r="K54" s="274">
        <f t="shared" si="14"/>
        <v>196774193548.38712</v>
      </c>
      <c r="L54" s="216">
        <f t="shared" si="15"/>
        <v>196774193548387.12</v>
      </c>
      <c r="M54" s="412">
        <v>196774194</v>
      </c>
      <c r="N54" s="274">
        <v>196774</v>
      </c>
      <c r="O54" s="274">
        <v>196774193548</v>
      </c>
      <c r="P54" s="216">
        <v>196774193548387</v>
      </c>
      <c r="Q54" s="745">
        <f t="shared" si="16"/>
        <v>-2.2950818988143417E-9</v>
      </c>
      <c r="R54" s="222">
        <f t="shared" si="17"/>
        <v>9.8360655749632696E-7</v>
      </c>
      <c r="S54" s="222">
        <f t="shared" si="18"/>
        <v>1.9673081695056351E-12</v>
      </c>
      <c r="T54" s="223">
        <f t="shared" si="19"/>
        <v>6.3524590163934414E-16</v>
      </c>
    </row>
    <row r="55" spans="3:23" ht="15.75" thickBot="1" x14ac:dyDescent="0.3">
      <c r="C55" s="422">
        <v>0.9</v>
      </c>
      <c r="D55" s="228" t="s">
        <v>86</v>
      </c>
      <c r="E55" s="229">
        <f>C55</f>
        <v>0.9</v>
      </c>
      <c r="F55" s="422">
        <v>91</v>
      </c>
      <c r="G55" s="228" t="s">
        <v>91</v>
      </c>
      <c r="H55" s="230">
        <f>F55</f>
        <v>91</v>
      </c>
      <c r="I55" s="422">
        <f t="shared" si="12"/>
        <v>101.11111111111111</v>
      </c>
      <c r="J55" s="423">
        <f t="shared" si="13"/>
        <v>0.10111111111111111</v>
      </c>
      <c r="K55" s="423">
        <f t="shared" si="14"/>
        <v>101111.11111111111</v>
      </c>
      <c r="L55" s="230">
        <f t="shared" si="15"/>
        <v>101111111.11111112</v>
      </c>
      <c r="M55" s="422">
        <v>101.111</v>
      </c>
      <c r="N55" s="423">
        <v>0.10111100000000001</v>
      </c>
      <c r="O55" s="423">
        <v>101111</v>
      </c>
      <c r="P55" s="230">
        <v>101111111</v>
      </c>
      <c r="Q55" s="752">
        <f t="shared" si="16"/>
        <v>1.0989010988907296E-6</v>
      </c>
      <c r="R55" s="438">
        <f t="shared" si="17"/>
        <v>1.0989010988259464E-6</v>
      </c>
      <c r="S55" s="438">
        <f t="shared" si="18"/>
        <v>1.0989010988851079E-6</v>
      </c>
      <c r="T55" s="439">
        <f t="shared" si="19"/>
        <v>1.098901180775611E-9</v>
      </c>
    </row>
    <row r="56" spans="3:23" ht="15.75" thickTop="1" x14ac:dyDescent="0.25">
      <c r="C56" s="1679">
        <v>410</v>
      </c>
      <c r="D56" s="127" t="s">
        <v>93</v>
      </c>
      <c r="E56" s="1640">
        <f>C56*1000</f>
        <v>410000</v>
      </c>
      <c r="F56" s="1679">
        <v>7.0000000000000007E-2</v>
      </c>
      <c r="G56" s="127" t="s">
        <v>92</v>
      </c>
      <c r="H56" s="1642">
        <f>F56/1000000</f>
        <v>7.0000000000000005E-8</v>
      </c>
      <c r="I56" s="1679">
        <f t="shared" si="12"/>
        <v>1.7073170731707318E-13</v>
      </c>
      <c r="J56" s="132">
        <f t="shared" si="13"/>
        <v>1.7073170731707319E-16</v>
      </c>
      <c r="K56" s="132">
        <f t="shared" si="14"/>
        <v>1.7073170731707319E-10</v>
      </c>
      <c r="L56" s="1642">
        <f t="shared" si="15"/>
        <v>1.707317073170732E-7</v>
      </c>
      <c r="M56" s="1720">
        <v>1.7073170731707301E-13</v>
      </c>
      <c r="N56" s="1721">
        <v>1.70731707317073E-16</v>
      </c>
      <c r="O56" s="1721">
        <v>1.7073170731707301E-10</v>
      </c>
      <c r="P56" s="1722">
        <v>1.7073170731707301E-7</v>
      </c>
      <c r="Q56" s="1723">
        <f t="shared" si="16"/>
        <v>1.0349855076499675E-15</v>
      </c>
      <c r="R56" s="144">
        <f t="shared" si="17"/>
        <v>1.1551177540736242E-15</v>
      </c>
      <c r="S56" s="144">
        <f t="shared" si="18"/>
        <v>1.0598251598335665E-15</v>
      </c>
      <c r="T56" s="145">
        <f t="shared" si="19"/>
        <v>1.0852609636695721E-15</v>
      </c>
    </row>
    <row r="57" spans="3:23" x14ac:dyDescent="0.25">
      <c r="C57" s="1683">
        <v>620</v>
      </c>
      <c r="D57" s="64" t="s">
        <v>94</v>
      </c>
      <c r="E57" s="1253">
        <f>C57/1000</f>
        <v>0.62</v>
      </c>
      <c r="F57" s="1683">
        <v>18</v>
      </c>
      <c r="G57" s="64" t="s">
        <v>92</v>
      </c>
      <c r="H57" s="56">
        <f t="shared" ref="H57:H60" si="22">F57/1000000</f>
        <v>1.8E-5</v>
      </c>
      <c r="I57" s="1683">
        <f t="shared" si="12"/>
        <v>2.903225806451613E-5</v>
      </c>
      <c r="J57" s="131">
        <f t="shared" si="13"/>
        <v>2.9032258064516128E-8</v>
      </c>
      <c r="K57" s="131">
        <f t="shared" si="14"/>
        <v>2.903225806451613E-2</v>
      </c>
      <c r="L57" s="56">
        <f t="shared" si="15"/>
        <v>29.032258064516128</v>
      </c>
      <c r="M57" s="1724">
        <v>2.9032258064516099E-5</v>
      </c>
      <c r="N57" s="1725">
        <v>2.9032258064516098E-8</v>
      </c>
      <c r="O57" s="131">
        <v>2.90323E-2</v>
      </c>
      <c r="P57" s="56">
        <v>29.032299999999999</v>
      </c>
      <c r="Q57" s="1726">
        <f t="shared" si="16"/>
        <v>1.0503208545953324E-15</v>
      </c>
      <c r="R57" s="139">
        <f t="shared" si="17"/>
        <v>1.0257039595657543E-15</v>
      </c>
      <c r="S57" s="139">
        <f t="shared" si="18"/>
        <v>-1.4444444444165913E-6</v>
      </c>
      <c r="T57" s="137">
        <f t="shared" si="19"/>
        <v>-1.4444444444529205E-6</v>
      </c>
    </row>
    <row r="58" spans="3:23" x14ac:dyDescent="0.25">
      <c r="C58" s="1683">
        <v>452</v>
      </c>
      <c r="D58" s="64" t="s">
        <v>95</v>
      </c>
      <c r="E58" s="1253">
        <f>C58*1000000</f>
        <v>452000000</v>
      </c>
      <c r="F58" s="1683">
        <v>841</v>
      </c>
      <c r="G58" s="64" t="s">
        <v>92</v>
      </c>
      <c r="H58" s="56">
        <f t="shared" si="22"/>
        <v>8.4099999999999995E-4</v>
      </c>
      <c r="I58" s="1683">
        <f t="shared" si="12"/>
        <v>1.8606194690265486E-12</v>
      </c>
      <c r="J58" s="131">
        <f t="shared" si="13"/>
        <v>1.8606194690265487E-15</v>
      </c>
      <c r="K58" s="131">
        <f t="shared" si="14"/>
        <v>1.8606194690265487E-9</v>
      </c>
      <c r="L58" s="56">
        <f t="shared" si="15"/>
        <v>1.8606194690265486E-6</v>
      </c>
      <c r="M58" s="1724">
        <v>1.8606194690265498E-12</v>
      </c>
      <c r="N58" s="1725">
        <v>1.8606194690265499E-15</v>
      </c>
      <c r="O58" s="1725">
        <v>1.8606194690265499E-9</v>
      </c>
      <c r="P58" s="1727">
        <v>1.8606194690265501E-6</v>
      </c>
      <c r="Q58" s="1726">
        <f t="shared" si="16"/>
        <v>-6.512295343514891E-16</v>
      </c>
      <c r="R58" s="139">
        <f t="shared" si="17"/>
        <v>-6.3596634214012602E-16</v>
      </c>
      <c r="S58" s="139">
        <f t="shared" si="18"/>
        <v>-6.6685904317592484E-16</v>
      </c>
      <c r="T58" s="137">
        <f t="shared" si="19"/>
        <v>-7.9667427024750492E-16</v>
      </c>
    </row>
    <row r="59" spans="3:23" x14ac:dyDescent="0.25">
      <c r="C59" s="1683">
        <v>940</v>
      </c>
      <c r="D59" s="1728" t="s">
        <v>96</v>
      </c>
      <c r="E59" s="1253">
        <f>C59/1000000</f>
        <v>9.3999999999999997E-4</v>
      </c>
      <c r="F59" s="1683">
        <v>94</v>
      </c>
      <c r="G59" s="64" t="s">
        <v>92</v>
      </c>
      <c r="H59" s="56">
        <f t="shared" si="22"/>
        <v>9.3999999999999994E-5</v>
      </c>
      <c r="I59" s="1683">
        <f t="shared" si="12"/>
        <v>9.9999999999999992E-2</v>
      </c>
      <c r="J59" s="131">
        <f t="shared" si="13"/>
        <v>9.9999999999999991E-5</v>
      </c>
      <c r="K59" s="131">
        <f t="shared" si="14"/>
        <v>99.999999999999986</v>
      </c>
      <c r="L59" s="56">
        <f t="shared" si="15"/>
        <v>99999.999999999985</v>
      </c>
      <c r="M59" s="1683">
        <v>0.1</v>
      </c>
      <c r="N59" s="131">
        <v>1E-4</v>
      </c>
      <c r="O59" s="131">
        <v>100</v>
      </c>
      <c r="P59" s="56">
        <v>100000</v>
      </c>
      <c r="Q59" s="1726">
        <f t="shared" si="16"/>
        <v>-1.3877787807814457E-16</v>
      </c>
      <c r="R59" s="139">
        <f t="shared" si="17"/>
        <v>-1.3552527156068805E-16</v>
      </c>
      <c r="S59" s="139">
        <f t="shared" si="18"/>
        <v>-1.4210854715202006E-16</v>
      </c>
      <c r="T59" s="137">
        <f t="shared" si="19"/>
        <v>-1.4551915228366853E-16</v>
      </c>
    </row>
    <row r="60" spans="3:23" ht="15.75" thickBot="1" x14ac:dyDescent="0.3">
      <c r="C60" s="1705">
        <v>0.78</v>
      </c>
      <c r="D60" s="126" t="s">
        <v>86</v>
      </c>
      <c r="E60" s="1706">
        <f>C60</f>
        <v>0.78</v>
      </c>
      <c r="F60" s="1705">
        <v>570</v>
      </c>
      <c r="G60" s="126" t="s">
        <v>92</v>
      </c>
      <c r="H60" s="129">
        <f t="shared" si="22"/>
        <v>5.6999999999999998E-4</v>
      </c>
      <c r="I60" s="1705">
        <f t="shared" si="12"/>
        <v>7.3076923076923069E-4</v>
      </c>
      <c r="J60" s="133">
        <f t="shared" si="13"/>
        <v>7.3076923076923068E-7</v>
      </c>
      <c r="K60" s="133">
        <f t="shared" si="14"/>
        <v>0.73076923076923073</v>
      </c>
      <c r="L60" s="129">
        <f t="shared" si="15"/>
        <v>730.76923076923072</v>
      </c>
      <c r="M60" s="1705">
        <v>7.3076900000000004E-4</v>
      </c>
      <c r="N60" s="1729">
        <v>7.30769230769231E-7</v>
      </c>
      <c r="O60" s="133">
        <v>0.730769</v>
      </c>
      <c r="P60" s="129">
        <v>730.76900000000001</v>
      </c>
      <c r="Q60" s="1730">
        <f t="shared" si="16"/>
        <v>3.1578947352940559E-7</v>
      </c>
      <c r="R60" s="140">
        <f t="shared" si="17"/>
        <v>-4.3466164398575946E-16</v>
      </c>
      <c r="S60" s="140">
        <f t="shared" si="18"/>
        <v>3.1578947362317192E-7</v>
      </c>
      <c r="T60" s="138">
        <f t="shared" si="19"/>
        <v>3.1578947360494092E-7</v>
      </c>
    </row>
    <row r="61" spans="3:23" ht="15.75" thickTop="1" x14ac:dyDescent="0.25"/>
    <row r="62" spans="3:23" ht="15.75" thickBot="1" x14ac:dyDescent="0.3"/>
    <row r="63" spans="3:23" ht="15.75" thickTop="1" x14ac:dyDescent="0.25">
      <c r="C63" s="2488" t="s">
        <v>0</v>
      </c>
      <c r="D63" s="2489"/>
      <c r="E63" s="2489"/>
      <c r="F63" s="2489"/>
      <c r="G63" s="2489"/>
      <c r="H63" s="2489"/>
      <c r="I63" s="2483" t="s">
        <v>158</v>
      </c>
      <c r="J63" s="2484"/>
      <c r="K63" s="2484"/>
      <c r="L63" s="2484"/>
      <c r="M63" s="2484"/>
      <c r="N63" s="2488" t="s">
        <v>17</v>
      </c>
      <c r="O63" s="2489"/>
      <c r="P63" s="2489"/>
      <c r="Q63" s="2489"/>
      <c r="R63" s="2495"/>
      <c r="S63" s="2484" t="s">
        <v>8</v>
      </c>
      <c r="T63" s="2484"/>
      <c r="U63" s="2484"/>
      <c r="V63" s="2484"/>
      <c r="W63" s="2485"/>
    </row>
    <row r="64" spans="3:23" ht="15.75" thickBot="1" x14ac:dyDescent="0.3">
      <c r="C64" s="2524" t="s">
        <v>143</v>
      </c>
      <c r="D64" s="2525"/>
      <c r="E64" s="2526"/>
      <c r="F64" s="2524" t="s">
        <v>144</v>
      </c>
      <c r="G64" s="2525"/>
      <c r="H64" s="2526"/>
      <c r="I64" s="2527" t="s">
        <v>142</v>
      </c>
      <c r="J64" s="2528"/>
      <c r="K64" s="2528"/>
      <c r="L64" s="2528"/>
      <c r="M64" s="2528"/>
      <c r="N64" s="2524" t="s">
        <v>142</v>
      </c>
      <c r="O64" s="2525"/>
      <c r="P64" s="2525"/>
      <c r="Q64" s="2525"/>
      <c r="R64" s="2525"/>
      <c r="S64" s="2527" t="s">
        <v>142</v>
      </c>
      <c r="T64" s="2528"/>
      <c r="U64" s="2528"/>
      <c r="V64" s="2528"/>
      <c r="W64" s="2529"/>
    </row>
    <row r="65" spans="3:23" ht="16.5" thickTop="1" thickBot="1" x14ac:dyDescent="0.3">
      <c r="C65" s="685" t="s">
        <v>3</v>
      </c>
      <c r="D65" s="753" t="s">
        <v>4</v>
      </c>
      <c r="E65" s="802" t="s">
        <v>87</v>
      </c>
      <c r="F65" s="685" t="s">
        <v>3</v>
      </c>
      <c r="G65" s="753" t="s">
        <v>4</v>
      </c>
      <c r="H65" s="687" t="s">
        <v>91</v>
      </c>
      <c r="I65" s="812" t="s">
        <v>93</v>
      </c>
      <c r="J65" s="810" t="s">
        <v>94</v>
      </c>
      <c r="K65" s="810" t="s">
        <v>95</v>
      </c>
      <c r="L65" s="813" t="s">
        <v>96</v>
      </c>
      <c r="M65" s="814" t="s">
        <v>86</v>
      </c>
      <c r="N65" s="685" t="s">
        <v>93</v>
      </c>
      <c r="O65" s="686" t="s">
        <v>94</v>
      </c>
      <c r="P65" s="686" t="s">
        <v>95</v>
      </c>
      <c r="Q65" s="803" t="s">
        <v>96</v>
      </c>
      <c r="R65" s="687" t="s">
        <v>86</v>
      </c>
      <c r="S65" s="814" t="s">
        <v>93</v>
      </c>
      <c r="T65" s="810" t="s">
        <v>94</v>
      </c>
      <c r="U65" s="810" t="s">
        <v>95</v>
      </c>
      <c r="V65" s="813" t="s">
        <v>96</v>
      </c>
      <c r="W65" s="811" t="s">
        <v>86</v>
      </c>
    </row>
    <row r="66" spans="3:23" ht="15.75" thickTop="1" x14ac:dyDescent="0.25">
      <c r="C66" s="968">
        <v>0.15</v>
      </c>
      <c r="D66" s="964" t="s">
        <v>87</v>
      </c>
      <c r="E66" s="965">
        <f>C66</f>
        <v>0.15</v>
      </c>
      <c r="F66" s="968">
        <v>52</v>
      </c>
      <c r="G66" s="964" t="s">
        <v>88</v>
      </c>
      <c r="H66" s="967">
        <f>F66*1000</f>
        <v>52000</v>
      </c>
      <c r="I66" s="965">
        <f>M66/1000</f>
        <v>346.66666666666669</v>
      </c>
      <c r="J66" s="1085">
        <f>M66*1000</f>
        <v>346666666.66666669</v>
      </c>
      <c r="K66" s="1085">
        <f>M66/1000000</f>
        <v>0.34666666666666668</v>
      </c>
      <c r="L66" s="1085">
        <f>M66*1000000</f>
        <v>346666666666.66669</v>
      </c>
      <c r="M66" s="965">
        <f>H66/E66</f>
        <v>346666.66666666669</v>
      </c>
      <c r="N66" s="968">
        <v>346.66699999999997</v>
      </c>
      <c r="O66" s="1085">
        <v>346666667</v>
      </c>
      <c r="P66" s="1085">
        <v>0.346667</v>
      </c>
      <c r="Q66" s="1085">
        <v>346666666667</v>
      </c>
      <c r="R66" s="967">
        <v>346667</v>
      </c>
      <c r="S66" s="1104">
        <f xml:space="preserve"> (I66-N66)/I66</f>
        <v>-9.615384614064099E-7</v>
      </c>
      <c r="T66" s="886">
        <f xml:space="preserve"> (J66-O66)/J66</f>
        <v>-9.6153840422630302E-10</v>
      </c>
      <c r="U66" s="886">
        <f xml:space="preserve"> (K66-P66)/K66</f>
        <v>-9.6153846151273498E-7</v>
      </c>
      <c r="V66" s="886">
        <f xml:space="preserve"> (L66-Q66)/L66</f>
        <v>-9.6147977388822112E-13</v>
      </c>
      <c r="W66" s="887">
        <f xml:space="preserve"> (M66-R66)/M66</f>
        <v>-9.6153846148249251E-7</v>
      </c>
    </row>
    <row r="67" spans="3:23" x14ac:dyDescent="0.25">
      <c r="C67" s="1059">
        <v>91</v>
      </c>
      <c r="D67" s="59" t="s">
        <v>97</v>
      </c>
      <c r="E67" s="32">
        <f>C67*1000</f>
        <v>91000</v>
      </c>
      <c r="F67" s="1059">
        <v>3.0000000000000001E-3</v>
      </c>
      <c r="G67" s="59" t="s">
        <v>88</v>
      </c>
      <c r="H67" s="889">
        <f>F67*1000</f>
        <v>3</v>
      </c>
      <c r="I67" s="32">
        <f t="shared" ref="I67:I85" si="23">M67/1000</f>
        <v>3.2967032967032962E-8</v>
      </c>
      <c r="J67" s="1060">
        <f t="shared" ref="J67:J85" si="24">M67*1000</f>
        <v>3.2967032967032961E-2</v>
      </c>
      <c r="K67" s="1060">
        <f t="shared" ref="K67:K85" si="25">M67/1000000</f>
        <v>3.2967032967032966E-11</v>
      </c>
      <c r="L67" s="1060">
        <f t="shared" ref="L67:L85" si="26">M67*1000000</f>
        <v>32.967032967032964</v>
      </c>
      <c r="M67" s="32">
        <f t="shared" ref="M67:M85" si="27">H67/E67</f>
        <v>3.2967032967032964E-5</v>
      </c>
      <c r="N67" s="1117">
        <v>3.2967032967033002E-8</v>
      </c>
      <c r="O67" s="1060">
        <v>3.2967000000000003E-2</v>
      </c>
      <c r="P67" s="1110">
        <v>3.2967032967032998E-11</v>
      </c>
      <c r="Q67" s="1060">
        <v>32.966999999999999</v>
      </c>
      <c r="R67" s="1118">
        <v>3.2967032967032998E-5</v>
      </c>
      <c r="S67" s="1115">
        <f t="shared" ref="S67:S85" si="28" xml:space="preserve"> (I67-N67)/I67</f>
        <v>-1.2043749718772085E-15</v>
      </c>
      <c r="T67" s="898">
        <f t="shared" ref="T67:T85" si="29" xml:space="preserve"> (J67-O67)/J67</f>
        <v>9.9999999971650565E-7</v>
      </c>
      <c r="U67" s="898">
        <f t="shared" ref="U67:U85" si="30" xml:space="preserve"> (K67-P67)/K67</f>
        <v>-9.8012286122819699E-16</v>
      </c>
      <c r="V67" s="898">
        <f t="shared" ref="V67:V85" si="31" xml:space="preserve"> (L67-Q67)/L67</f>
        <v>9.9999999993372069E-7</v>
      </c>
      <c r="W67" s="899">
        <f t="shared" ref="W67:W85" si="32" xml:space="preserve"> (M67-R67)/M67</f>
        <v>-1.0277333093352179E-15</v>
      </c>
    </row>
    <row r="68" spans="3:23" x14ac:dyDescent="0.25">
      <c r="C68" s="1059">
        <v>542</v>
      </c>
      <c r="D68" s="59" t="s">
        <v>98</v>
      </c>
      <c r="E68" s="32">
        <f>C68/1000</f>
        <v>0.54200000000000004</v>
      </c>
      <c r="F68" s="1059">
        <v>124</v>
      </c>
      <c r="G68" s="59" t="s">
        <v>88</v>
      </c>
      <c r="H68" s="889">
        <f>F68*1000</f>
        <v>124000</v>
      </c>
      <c r="I68" s="32">
        <f t="shared" si="23"/>
        <v>228.78228782287823</v>
      </c>
      <c r="J68" s="1060">
        <f t="shared" si="24"/>
        <v>228782287.82287821</v>
      </c>
      <c r="K68" s="1060">
        <f t="shared" si="25"/>
        <v>0.22878228782287821</v>
      </c>
      <c r="L68" s="1060">
        <f t="shared" si="26"/>
        <v>228782287822.87823</v>
      </c>
      <c r="M68" s="32">
        <f t="shared" si="27"/>
        <v>228782.28782287822</v>
      </c>
      <c r="N68" s="1059">
        <v>228.78200000000001</v>
      </c>
      <c r="O68" s="1060">
        <v>228782288</v>
      </c>
      <c r="P68" s="1060">
        <v>0.22878200000000001</v>
      </c>
      <c r="Q68" s="1060">
        <v>228782287823</v>
      </c>
      <c r="R68" s="889">
        <v>228782</v>
      </c>
      <c r="S68" s="1115">
        <f t="shared" si="28"/>
        <v>1.2580645160942404E-6</v>
      </c>
      <c r="T68" s="898">
        <f t="shared" si="29"/>
        <v>-7.7419362289290278E-10</v>
      </c>
      <c r="U68" s="898">
        <f t="shared" si="30"/>
        <v>1.2580645159933033E-6</v>
      </c>
      <c r="V68" s="898">
        <f t="shared" si="31"/>
        <v>-5.322314846900201E-13</v>
      </c>
      <c r="W68" s="899">
        <f t="shared" si="32"/>
        <v>1.2580645160952344E-6</v>
      </c>
    </row>
    <row r="69" spans="3:23" ht="15.75" thickBot="1" x14ac:dyDescent="0.3">
      <c r="C69" s="1064">
        <v>0.84</v>
      </c>
      <c r="D69" s="953" t="s">
        <v>99</v>
      </c>
      <c r="E69" s="1065">
        <f>C69/1000000</f>
        <v>8.4E-7</v>
      </c>
      <c r="F69" s="1064">
        <v>950</v>
      </c>
      <c r="G69" s="953" t="s">
        <v>88</v>
      </c>
      <c r="H69" s="954">
        <f>F69*1000</f>
        <v>950000</v>
      </c>
      <c r="I69" s="1065">
        <f t="shared" si="23"/>
        <v>1130952380.9523809</v>
      </c>
      <c r="J69" s="1066">
        <f t="shared" si="24"/>
        <v>1130952380952380.7</v>
      </c>
      <c r="K69" s="1066">
        <f t="shared" si="25"/>
        <v>1130952.3809523808</v>
      </c>
      <c r="L69" s="1066">
        <f t="shared" si="26"/>
        <v>1.1309523809523808E+18</v>
      </c>
      <c r="M69" s="1065">
        <f t="shared" si="27"/>
        <v>1130952380952.3809</v>
      </c>
      <c r="N69" s="1064">
        <v>1130952381</v>
      </c>
      <c r="O69" s="1119">
        <v>1130952380952380</v>
      </c>
      <c r="P69" s="1066">
        <v>1130952</v>
      </c>
      <c r="Q69" s="1119">
        <v>1.13095238095238E+18</v>
      </c>
      <c r="R69" s="954">
        <v>1130952380952</v>
      </c>
      <c r="S69" s="1116">
        <f t="shared" si="28"/>
        <v>-4.2105313351279811E-11</v>
      </c>
      <c r="T69" s="912">
        <f t="shared" si="29"/>
        <v>6.6315789473684221E-16</v>
      </c>
      <c r="U69" s="912">
        <f t="shared" si="30"/>
        <v>3.3684210515532059E-7</v>
      </c>
      <c r="V69" s="912">
        <f t="shared" si="31"/>
        <v>6.7907368421052638E-16</v>
      </c>
      <c r="W69" s="913">
        <f t="shared" si="32"/>
        <v>3.3675986842105267E-13</v>
      </c>
    </row>
    <row r="70" spans="3:23" ht="15.75" thickTop="1" x14ac:dyDescent="0.25">
      <c r="C70" s="1431">
        <v>1284</v>
      </c>
      <c r="D70" s="1333" t="s">
        <v>87</v>
      </c>
      <c r="E70" s="1334">
        <f>C70</f>
        <v>1284</v>
      </c>
      <c r="F70" s="1431">
        <v>0.2</v>
      </c>
      <c r="G70" s="1333" t="s">
        <v>89</v>
      </c>
      <c r="H70" s="1370">
        <f>F70/1000</f>
        <v>2.0000000000000001E-4</v>
      </c>
      <c r="I70" s="1334">
        <f t="shared" si="23"/>
        <v>1.5576323987538942E-10</v>
      </c>
      <c r="J70" s="1442">
        <f t="shared" si="24"/>
        <v>1.5576323987538941E-4</v>
      </c>
      <c r="K70" s="1442">
        <f t="shared" si="25"/>
        <v>1.5576323987538942E-13</v>
      </c>
      <c r="L70" s="1442">
        <f t="shared" si="26"/>
        <v>0.15576323987538943</v>
      </c>
      <c r="M70" s="1334">
        <f t="shared" si="27"/>
        <v>1.5576323987538942E-7</v>
      </c>
      <c r="N70" s="1502">
        <v>1.5576323987538901E-10</v>
      </c>
      <c r="O70" s="1442">
        <v>1.5576300000000001E-4</v>
      </c>
      <c r="P70" s="1497">
        <v>1.5576323987538899E-13</v>
      </c>
      <c r="Q70" s="1442">
        <v>0.15576300000000001</v>
      </c>
      <c r="R70" s="1503">
        <v>1.55763239875389E-7</v>
      </c>
      <c r="S70" s="1432">
        <f t="shared" si="28"/>
        <v>2.6552497662952184E-15</v>
      </c>
      <c r="T70" s="1266">
        <f t="shared" si="29"/>
        <v>1.5400000000025636E-6</v>
      </c>
      <c r="U70" s="1266">
        <f t="shared" si="30"/>
        <v>2.7550809342662793E-15</v>
      </c>
      <c r="V70" s="1266">
        <f t="shared" si="31"/>
        <v>1.5400000000304058E-6</v>
      </c>
      <c r="W70" s="1267">
        <f t="shared" si="32"/>
        <v>2.7189757606863037E-15</v>
      </c>
    </row>
    <row r="71" spans="3:23" x14ac:dyDescent="0.25">
      <c r="C71" s="1435">
        <v>950</v>
      </c>
      <c r="D71" s="1269" t="s">
        <v>97</v>
      </c>
      <c r="E71" s="1254">
        <f>C71*1000</f>
        <v>950000</v>
      </c>
      <c r="F71" s="1435">
        <v>0.19</v>
      </c>
      <c r="G71" s="1269" t="s">
        <v>89</v>
      </c>
      <c r="H71" s="1270">
        <f>F71/1000</f>
        <v>1.9000000000000001E-4</v>
      </c>
      <c r="I71" s="1254">
        <f t="shared" si="23"/>
        <v>2.0000000000000001E-13</v>
      </c>
      <c r="J71" s="1446">
        <f t="shared" si="24"/>
        <v>2.0000000000000002E-7</v>
      </c>
      <c r="K71" s="1446">
        <f t="shared" si="25"/>
        <v>2E-16</v>
      </c>
      <c r="L71" s="1446">
        <f t="shared" si="26"/>
        <v>2.0000000000000001E-4</v>
      </c>
      <c r="M71" s="1254">
        <f t="shared" si="27"/>
        <v>2.0000000000000001E-10</v>
      </c>
      <c r="N71" s="1499">
        <v>2.0000000000000001E-13</v>
      </c>
      <c r="O71" s="1477">
        <v>1.9999999999999999E-7</v>
      </c>
      <c r="P71" s="1477">
        <v>2E-16</v>
      </c>
      <c r="Q71" s="1446">
        <v>2.0000000000000001E-4</v>
      </c>
      <c r="R71" s="1500">
        <v>2.0000000000000001E-10</v>
      </c>
      <c r="S71" s="1498">
        <f t="shared" si="28"/>
        <v>0</v>
      </c>
      <c r="T71" s="1278">
        <f t="shared" si="29"/>
        <v>1.3234889800848443E-16</v>
      </c>
      <c r="U71" s="1278">
        <f t="shared" si="30"/>
        <v>0</v>
      </c>
      <c r="V71" s="1278">
        <f t="shared" si="31"/>
        <v>0</v>
      </c>
      <c r="W71" s="1279">
        <f t="shared" si="32"/>
        <v>0</v>
      </c>
    </row>
    <row r="72" spans="3:23" x14ac:dyDescent="0.25">
      <c r="C72" s="1435">
        <v>771</v>
      </c>
      <c r="D72" s="1269" t="s">
        <v>98</v>
      </c>
      <c r="E72" s="1254">
        <f>C72/1000</f>
        <v>0.77100000000000002</v>
      </c>
      <c r="F72" s="1435">
        <v>650</v>
      </c>
      <c r="G72" s="1269" t="s">
        <v>89</v>
      </c>
      <c r="H72" s="1270">
        <f>F72/1000</f>
        <v>0.65</v>
      </c>
      <c r="I72" s="1254">
        <f t="shared" si="23"/>
        <v>8.4306095979247734E-4</v>
      </c>
      <c r="J72" s="1446">
        <f t="shared" si="24"/>
        <v>843.06095979247732</v>
      </c>
      <c r="K72" s="1446">
        <f t="shared" si="25"/>
        <v>8.4306095979247732E-7</v>
      </c>
      <c r="L72" s="1446">
        <f t="shared" si="26"/>
        <v>843060.95979247731</v>
      </c>
      <c r="M72" s="1254">
        <f t="shared" si="27"/>
        <v>0.8430609597924773</v>
      </c>
      <c r="N72" s="1435">
        <v>8.4306099999999998E-4</v>
      </c>
      <c r="O72" s="1446">
        <v>843.06100000000004</v>
      </c>
      <c r="P72" s="1477">
        <v>8.43060959792477E-7</v>
      </c>
      <c r="Q72" s="1446">
        <v>843061</v>
      </c>
      <c r="R72" s="1270">
        <v>0.84306099999999995</v>
      </c>
      <c r="S72" s="1498">
        <f t="shared" si="28"/>
        <v>-4.7692307625170881E-8</v>
      </c>
      <c r="T72" s="1278">
        <f t="shared" si="29"/>
        <v>-4.7692307713567478E-8</v>
      </c>
      <c r="U72" s="1278">
        <f t="shared" si="30"/>
        <v>3.767667705767686E-16</v>
      </c>
      <c r="V72" s="1278">
        <f t="shared" si="31"/>
        <v>-4.769230768120346E-8</v>
      </c>
      <c r="W72" s="1279">
        <f t="shared" si="32"/>
        <v>-4.7692307629286184E-8</v>
      </c>
    </row>
    <row r="73" spans="3:23" ht="15.75" thickBot="1" x14ac:dyDescent="0.3">
      <c r="C73" s="1440">
        <v>0.67</v>
      </c>
      <c r="D73" s="1348" t="s">
        <v>99</v>
      </c>
      <c r="E73" s="1351">
        <f>C73/1000000</f>
        <v>6.7000000000000004E-7</v>
      </c>
      <c r="F73" s="1440">
        <v>81</v>
      </c>
      <c r="G73" s="1348" t="s">
        <v>89</v>
      </c>
      <c r="H73" s="1375">
        <f>F73/1000</f>
        <v>8.1000000000000003E-2</v>
      </c>
      <c r="I73" s="1351">
        <f t="shared" si="23"/>
        <v>120.8955223880597</v>
      </c>
      <c r="J73" s="1451">
        <f t="shared" si="24"/>
        <v>120895522.38805971</v>
      </c>
      <c r="K73" s="1451">
        <f t="shared" si="25"/>
        <v>0.1208955223880597</v>
      </c>
      <c r="L73" s="1451">
        <f t="shared" si="26"/>
        <v>120895522388.05971</v>
      </c>
      <c r="M73" s="1351">
        <f t="shared" si="27"/>
        <v>120895.5223880597</v>
      </c>
      <c r="N73" s="1440">
        <v>120.896</v>
      </c>
      <c r="O73" s="1451">
        <v>120895522</v>
      </c>
      <c r="P73" s="1451">
        <v>0.120896</v>
      </c>
      <c r="Q73" s="1451">
        <v>120895522388</v>
      </c>
      <c r="R73" s="1375">
        <v>120896</v>
      </c>
      <c r="S73" s="1493">
        <f t="shared" si="28"/>
        <v>-3.9506172839431644E-6</v>
      </c>
      <c r="T73" s="1297">
        <f t="shared" si="29"/>
        <v>3.2098765763235678E-9</v>
      </c>
      <c r="U73" s="1297">
        <f t="shared" si="30"/>
        <v>-3.9506172839854077E-6</v>
      </c>
      <c r="V73" s="1297">
        <f t="shared" si="31"/>
        <v>4.9387802312403544E-13</v>
      </c>
      <c r="W73" s="1298">
        <f t="shared" si="32"/>
        <v>-3.9506172839290588E-6</v>
      </c>
    </row>
    <row r="74" spans="3:23" ht="15.75" thickTop="1" x14ac:dyDescent="0.25">
      <c r="C74" s="313">
        <v>7.0000000000000001E-3</v>
      </c>
      <c r="D74" s="61" t="s">
        <v>87</v>
      </c>
      <c r="E74" s="45">
        <f>C74</f>
        <v>7.0000000000000001E-3</v>
      </c>
      <c r="F74" s="313">
        <v>125</v>
      </c>
      <c r="G74" s="61" t="s">
        <v>90</v>
      </c>
      <c r="H74" s="48">
        <f>F74*1000000</f>
        <v>125000000</v>
      </c>
      <c r="I74" s="45">
        <f t="shared" si="23"/>
        <v>17857142.857142858</v>
      </c>
      <c r="J74" s="314">
        <f t="shared" si="24"/>
        <v>17857142857142.855</v>
      </c>
      <c r="K74" s="314">
        <f t="shared" si="25"/>
        <v>17857.142857142855</v>
      </c>
      <c r="L74" s="314">
        <f t="shared" si="26"/>
        <v>1.7857142857142856E+16</v>
      </c>
      <c r="M74" s="45">
        <f t="shared" si="27"/>
        <v>17857142857.142857</v>
      </c>
      <c r="N74" s="313">
        <v>17857143</v>
      </c>
      <c r="O74" s="314">
        <v>17857142857143</v>
      </c>
      <c r="P74" s="314">
        <v>17857.099999999999</v>
      </c>
      <c r="Q74" s="747">
        <v>1.78571428571429E+16</v>
      </c>
      <c r="R74" s="48">
        <v>17857142857</v>
      </c>
      <c r="S74" s="299">
        <f t="shared" si="28"/>
        <v>-7.9999999403953541E-9</v>
      </c>
      <c r="T74" s="191">
        <f t="shared" si="29"/>
        <v>-8.0937500000000002E-15</v>
      </c>
      <c r="U74" s="191">
        <f t="shared" si="30"/>
        <v>2.3999999999650759E-6</v>
      </c>
      <c r="V74" s="191">
        <f t="shared" si="31"/>
        <v>-2.4640000000000002E-15</v>
      </c>
      <c r="W74" s="192">
        <f t="shared" si="32"/>
        <v>7.9999694824218756E-12</v>
      </c>
    </row>
    <row r="75" spans="3:23" x14ac:dyDescent="0.25">
      <c r="C75" s="310">
        <v>0.185</v>
      </c>
      <c r="D75" s="62" t="s">
        <v>97</v>
      </c>
      <c r="E75" s="34">
        <f>C75*1000</f>
        <v>185</v>
      </c>
      <c r="F75" s="310">
        <v>9.4000000000000004E-3</v>
      </c>
      <c r="G75" s="62" t="s">
        <v>90</v>
      </c>
      <c r="H75" s="35">
        <f>F75*1000000</f>
        <v>9400</v>
      </c>
      <c r="I75" s="34">
        <f t="shared" si="23"/>
        <v>5.0810810810810812E-2</v>
      </c>
      <c r="J75" s="117">
        <f t="shared" si="24"/>
        <v>50810.810810810814</v>
      </c>
      <c r="K75" s="117">
        <f t="shared" si="25"/>
        <v>5.0810810810810815E-5</v>
      </c>
      <c r="L75" s="117">
        <f t="shared" si="26"/>
        <v>50810810.810810812</v>
      </c>
      <c r="M75" s="34">
        <f t="shared" si="27"/>
        <v>50.810810810810814</v>
      </c>
      <c r="N75" s="310">
        <v>5.0810800000000003E-2</v>
      </c>
      <c r="O75" s="117">
        <v>50810.8</v>
      </c>
      <c r="P75" s="739">
        <v>5.0810810810810802E-5</v>
      </c>
      <c r="Q75" s="117">
        <v>50810811</v>
      </c>
      <c r="R75" s="35">
        <v>50.8108</v>
      </c>
      <c r="S75" s="334">
        <f t="shared" si="28"/>
        <v>2.1276595741232681E-7</v>
      </c>
      <c r="T75" s="156">
        <f t="shared" si="29"/>
        <v>2.1276595744371235E-7</v>
      </c>
      <c r="U75" s="156">
        <f t="shared" si="30"/>
        <v>2.667252684970988E-16</v>
      </c>
      <c r="V75" s="156">
        <f t="shared" si="31"/>
        <v>-3.723404235503775E-9</v>
      </c>
      <c r="W75" s="157">
        <f t="shared" si="32"/>
        <v>2.1276595750300487E-7</v>
      </c>
    </row>
    <row r="76" spans="3:23" x14ac:dyDescent="0.25">
      <c r="C76" s="310">
        <v>641</v>
      </c>
      <c r="D76" s="62" t="s">
        <v>98</v>
      </c>
      <c r="E76" s="34">
        <f>C76/1000</f>
        <v>0.64100000000000001</v>
      </c>
      <c r="F76" s="310">
        <v>6.4000000000000001E-2</v>
      </c>
      <c r="G76" s="62" t="s">
        <v>90</v>
      </c>
      <c r="H76" s="35">
        <f>F76*1000000</f>
        <v>64000</v>
      </c>
      <c r="I76" s="34">
        <f t="shared" si="23"/>
        <v>99.84399375975039</v>
      </c>
      <c r="J76" s="117">
        <f t="shared" si="24"/>
        <v>99843993.759750396</v>
      </c>
      <c r="K76" s="117">
        <f t="shared" si="25"/>
        <v>9.9843993759750393E-2</v>
      </c>
      <c r="L76" s="117">
        <f t="shared" si="26"/>
        <v>99843993759.750381</v>
      </c>
      <c r="M76" s="34">
        <f t="shared" si="27"/>
        <v>99843.993759750389</v>
      </c>
      <c r="N76" s="310">
        <v>99.843999999999994</v>
      </c>
      <c r="O76" s="117">
        <v>99843994</v>
      </c>
      <c r="P76" s="117">
        <v>9.9844000000000002E-2</v>
      </c>
      <c r="Q76" s="117">
        <v>99843993760</v>
      </c>
      <c r="R76" s="35">
        <v>99844</v>
      </c>
      <c r="S76" s="334">
        <f t="shared" si="28"/>
        <v>-6.2499999941678655E-8</v>
      </c>
      <c r="T76" s="156">
        <f t="shared" si="29"/>
        <v>-2.406249939929694E-9</v>
      </c>
      <c r="U76" s="156">
        <f t="shared" si="30"/>
        <v>-6.249999998726892E-8</v>
      </c>
      <c r="V76" s="156">
        <f t="shared" si="31"/>
        <v>-2.5000855922698978E-12</v>
      </c>
      <c r="W76" s="157">
        <f t="shared" si="32"/>
        <v>-6.2500000014551917E-8</v>
      </c>
    </row>
    <row r="77" spans="3:23" ht="15.75" thickBot="1" x14ac:dyDescent="0.3">
      <c r="C77" s="316">
        <v>1289</v>
      </c>
      <c r="D77" s="290" t="s">
        <v>99</v>
      </c>
      <c r="E77" s="294">
        <f>C77/1000000</f>
        <v>1.289E-3</v>
      </c>
      <c r="F77" s="316">
        <v>95</v>
      </c>
      <c r="G77" s="290" t="s">
        <v>90</v>
      </c>
      <c r="H77" s="291">
        <f>F77*1000000</f>
        <v>95000000</v>
      </c>
      <c r="I77" s="294">
        <f t="shared" si="23"/>
        <v>73700543.05663304</v>
      </c>
      <c r="J77" s="317">
        <f t="shared" si="24"/>
        <v>73700543056633.047</v>
      </c>
      <c r="K77" s="317">
        <f t="shared" si="25"/>
        <v>73700.543056633047</v>
      </c>
      <c r="L77" s="317">
        <f t="shared" si="26"/>
        <v>7.370054305663304E+16</v>
      </c>
      <c r="M77" s="294">
        <f t="shared" si="27"/>
        <v>73700543056.633041</v>
      </c>
      <c r="N77" s="316">
        <v>73700543</v>
      </c>
      <c r="O77" s="317">
        <v>73700543056633</v>
      </c>
      <c r="P77" s="317">
        <v>73700.5</v>
      </c>
      <c r="Q77" s="734">
        <v>7.3700543056632992E+16</v>
      </c>
      <c r="R77" s="291">
        <v>73700543057</v>
      </c>
      <c r="S77" s="735">
        <f t="shared" si="28"/>
        <v>7.6842093640252169E-10</v>
      </c>
      <c r="T77" s="163">
        <f t="shared" si="29"/>
        <v>6.3601973684210527E-16</v>
      </c>
      <c r="U77" s="163">
        <f t="shared" si="30"/>
        <v>5.8421052628959603E-7</v>
      </c>
      <c r="V77" s="163">
        <f t="shared" si="31"/>
        <v>6.512842105263159E-16</v>
      </c>
      <c r="W77" s="164">
        <f t="shared" si="32"/>
        <v>-4.9790490401418591E-12</v>
      </c>
    </row>
    <row r="78" spans="3:23" ht="15.75" thickTop="1" x14ac:dyDescent="0.25">
      <c r="C78" s="420">
        <v>95</v>
      </c>
      <c r="D78" s="383" t="s">
        <v>87</v>
      </c>
      <c r="E78" s="384">
        <f>C78</f>
        <v>95</v>
      </c>
      <c r="F78" s="420">
        <v>520</v>
      </c>
      <c r="G78" s="383" t="s">
        <v>91</v>
      </c>
      <c r="H78" s="390">
        <f>F78</f>
        <v>520</v>
      </c>
      <c r="I78" s="384">
        <f t="shared" si="23"/>
        <v>5.4736842105263164E-3</v>
      </c>
      <c r="J78" s="421">
        <f t="shared" si="24"/>
        <v>5473.6842105263158</v>
      </c>
      <c r="K78" s="421">
        <f t="shared" si="25"/>
        <v>5.4736842105263157E-6</v>
      </c>
      <c r="L78" s="421">
        <f t="shared" si="26"/>
        <v>5473684.2105263155</v>
      </c>
      <c r="M78" s="384">
        <f t="shared" si="27"/>
        <v>5.4736842105263159</v>
      </c>
      <c r="N78" s="420">
        <v>5.4736799999999999E-3</v>
      </c>
      <c r="O78" s="421">
        <v>5473.68</v>
      </c>
      <c r="P78" s="748">
        <v>5.4736842105263199E-6</v>
      </c>
      <c r="Q78" s="421">
        <v>5473684</v>
      </c>
      <c r="R78" s="390">
        <v>5.4736799999999999</v>
      </c>
      <c r="S78" s="628">
        <f t="shared" si="28"/>
        <v>7.6923076935964108E-7</v>
      </c>
      <c r="T78" s="211">
        <f t="shared" si="29"/>
        <v>7.6923076918634386E-7</v>
      </c>
      <c r="U78" s="211">
        <f t="shared" si="30"/>
        <v>-7.7373201912652438E-16</v>
      </c>
      <c r="V78" s="211">
        <f t="shared" si="31"/>
        <v>3.8461538407808316E-8</v>
      </c>
      <c r="W78" s="212">
        <f t="shared" si="32"/>
        <v>7.6923076927850951E-7</v>
      </c>
    </row>
    <row r="79" spans="3:23" x14ac:dyDescent="0.25">
      <c r="C79" s="412">
        <v>650</v>
      </c>
      <c r="D79" s="214" t="s">
        <v>97</v>
      </c>
      <c r="E79" s="215">
        <f>C79*1000</f>
        <v>650000</v>
      </c>
      <c r="F79" s="412">
        <v>610</v>
      </c>
      <c r="G79" s="214" t="s">
        <v>91</v>
      </c>
      <c r="H79" s="216">
        <f>F79</f>
        <v>610</v>
      </c>
      <c r="I79" s="215">
        <f t="shared" si="23"/>
        <v>9.3846153846153853E-7</v>
      </c>
      <c r="J79" s="274">
        <f t="shared" si="24"/>
        <v>0.93846153846153846</v>
      </c>
      <c r="K79" s="274">
        <f t="shared" si="25"/>
        <v>9.3846153846153848E-10</v>
      </c>
      <c r="L79" s="274">
        <f t="shared" si="26"/>
        <v>938.46153846153857</v>
      </c>
      <c r="M79" s="215">
        <f t="shared" si="27"/>
        <v>9.3846153846153851E-4</v>
      </c>
      <c r="N79" s="746">
        <v>9.3846153846153896E-7</v>
      </c>
      <c r="O79" s="274">
        <v>0.93846200000000002</v>
      </c>
      <c r="P79" s="742">
        <v>9.3846153846153807E-10</v>
      </c>
      <c r="Q79" s="274">
        <v>938.46199999999999</v>
      </c>
      <c r="R79" s="216">
        <v>9.3846200000000004E-4</v>
      </c>
      <c r="S79" s="745">
        <f t="shared" si="28"/>
        <v>-4.5128804566827478E-16</v>
      </c>
      <c r="T79" s="222">
        <f t="shared" si="29"/>
        <v>-4.918032787117669E-7</v>
      </c>
      <c r="U79" s="222">
        <f t="shared" si="30"/>
        <v>4.4071098209792458E-16</v>
      </c>
      <c r="V79" s="222">
        <f t="shared" si="31"/>
        <v>-4.918032785650718E-7</v>
      </c>
      <c r="W79" s="223">
        <f t="shared" si="32"/>
        <v>-4.9180327867849428E-7</v>
      </c>
    </row>
    <row r="80" spans="3:23" x14ac:dyDescent="0.25">
      <c r="C80" s="412">
        <v>84</v>
      </c>
      <c r="D80" s="214" t="s">
        <v>98</v>
      </c>
      <c r="E80" s="215">
        <f>C80/1000</f>
        <v>8.4000000000000005E-2</v>
      </c>
      <c r="F80" s="412">
        <v>14</v>
      </c>
      <c r="G80" s="214" t="s">
        <v>91</v>
      </c>
      <c r="H80" s="216">
        <f>F80</f>
        <v>14</v>
      </c>
      <c r="I80" s="215">
        <f t="shared" si="23"/>
        <v>0.16666666666666666</v>
      </c>
      <c r="J80" s="274">
        <f t="shared" si="24"/>
        <v>166666.66666666666</v>
      </c>
      <c r="K80" s="274">
        <f t="shared" si="25"/>
        <v>1.6666666666666666E-4</v>
      </c>
      <c r="L80" s="274">
        <f t="shared" si="26"/>
        <v>166666666.66666666</v>
      </c>
      <c r="M80" s="215">
        <f t="shared" si="27"/>
        <v>166.66666666666666</v>
      </c>
      <c r="N80" s="412">
        <v>0.16666700000000001</v>
      </c>
      <c r="O80" s="274">
        <v>166667</v>
      </c>
      <c r="P80" s="274">
        <v>1.6666700000000001E-4</v>
      </c>
      <c r="Q80" s="274">
        <v>166666667</v>
      </c>
      <c r="R80" s="216">
        <v>166.667</v>
      </c>
      <c r="S80" s="745">
        <f t="shared" si="28"/>
        <v>-2.0000000001130225E-6</v>
      </c>
      <c r="T80" s="222">
        <f t="shared" si="29"/>
        <v>-2.0000000000582076E-6</v>
      </c>
      <c r="U80" s="222">
        <f t="shared" si="30"/>
        <v>-2.0000000000857006E-6</v>
      </c>
      <c r="V80" s="222">
        <f t="shared" si="31"/>
        <v>-2.0000000596046449E-9</v>
      </c>
      <c r="W80" s="223">
        <f t="shared" si="32"/>
        <v>-2.0000000000663933E-6</v>
      </c>
    </row>
    <row r="81" spans="3:23" ht="15.75" thickBot="1" x14ac:dyDescent="0.3">
      <c r="C81" s="422">
        <v>38</v>
      </c>
      <c r="D81" s="228" t="s">
        <v>99</v>
      </c>
      <c r="E81" s="229">
        <f>C81/1000000</f>
        <v>3.8000000000000002E-5</v>
      </c>
      <c r="F81" s="422">
        <v>9.4E-2</v>
      </c>
      <c r="G81" s="228" t="s">
        <v>91</v>
      </c>
      <c r="H81" s="230">
        <f>F81</f>
        <v>9.4E-2</v>
      </c>
      <c r="I81" s="229">
        <f t="shared" si="23"/>
        <v>2.4736842105263159</v>
      </c>
      <c r="J81" s="423">
        <f t="shared" si="24"/>
        <v>2473684.210526316</v>
      </c>
      <c r="K81" s="423">
        <f t="shared" si="25"/>
        <v>2.4736842105263159E-3</v>
      </c>
      <c r="L81" s="423">
        <f t="shared" si="26"/>
        <v>2473684210.5263157</v>
      </c>
      <c r="M81" s="229">
        <f t="shared" si="27"/>
        <v>2473.6842105263158</v>
      </c>
      <c r="N81" s="422">
        <v>2.4736799999999999</v>
      </c>
      <c r="O81" s="423">
        <v>2473684</v>
      </c>
      <c r="P81" s="423">
        <v>2.4736799999999998E-3</v>
      </c>
      <c r="Q81" s="423">
        <v>2473684211</v>
      </c>
      <c r="R81" s="230">
        <v>2473.6799999999998</v>
      </c>
      <c r="S81" s="752">
        <f t="shared" si="28"/>
        <v>1.7021276596801061E-6</v>
      </c>
      <c r="T81" s="438">
        <f t="shared" si="29"/>
        <v>8.5106383048077201E-8</v>
      </c>
      <c r="U81" s="438">
        <f t="shared" si="30"/>
        <v>1.7021276596843137E-6</v>
      </c>
      <c r="V81" s="438">
        <f t="shared" si="31"/>
        <v>-1.9148940228401348E-10</v>
      </c>
      <c r="W81" s="439">
        <f t="shared" si="32"/>
        <v>1.7021276596599992E-6</v>
      </c>
    </row>
    <row r="82" spans="3:23" ht="15.75" thickTop="1" x14ac:dyDescent="0.25">
      <c r="C82" s="1679">
        <v>0.9</v>
      </c>
      <c r="D82" s="127" t="s">
        <v>87</v>
      </c>
      <c r="E82" s="1640">
        <f>C82</f>
        <v>0.9</v>
      </c>
      <c r="F82" s="1679">
        <v>65</v>
      </c>
      <c r="G82" s="127" t="s">
        <v>92</v>
      </c>
      <c r="H82" s="1642">
        <f>F82/1000000</f>
        <v>6.4999999999999994E-5</v>
      </c>
      <c r="I82" s="1640">
        <f t="shared" si="23"/>
        <v>7.2222222222222225E-8</v>
      </c>
      <c r="J82" s="132">
        <f t="shared" si="24"/>
        <v>7.2222222222222215E-2</v>
      </c>
      <c r="K82" s="132">
        <f t="shared" si="25"/>
        <v>7.2222222222222214E-11</v>
      </c>
      <c r="L82" s="132">
        <f t="shared" si="26"/>
        <v>72.222222222222214</v>
      </c>
      <c r="M82" s="1640">
        <f t="shared" si="27"/>
        <v>7.2222222222222219E-5</v>
      </c>
      <c r="N82" s="1720">
        <v>7.2222222222222198E-8</v>
      </c>
      <c r="O82" s="132">
        <v>7.22222E-2</v>
      </c>
      <c r="P82" s="1721">
        <v>7.2222222222222201E-11</v>
      </c>
      <c r="Q82" s="132">
        <v>72.222200000000001</v>
      </c>
      <c r="R82" s="1722">
        <v>7.2222222222222205E-5</v>
      </c>
      <c r="S82" s="1723">
        <f t="shared" si="28"/>
        <v>3.6650464063887995E-16</v>
      </c>
      <c r="T82" s="144">
        <f t="shared" si="29"/>
        <v>3.0769230759440339E-7</v>
      </c>
      <c r="U82" s="144">
        <f t="shared" si="30"/>
        <v>1.7895734406195313E-16</v>
      </c>
      <c r="V82" s="144">
        <f t="shared" si="31"/>
        <v>3.0769230757134493E-7</v>
      </c>
      <c r="W82" s="145">
        <f t="shared" si="32"/>
        <v>1.8765037600710656E-16</v>
      </c>
    </row>
    <row r="83" spans="3:23" x14ac:dyDescent="0.25">
      <c r="C83" s="1683">
        <v>52</v>
      </c>
      <c r="D83" s="64" t="s">
        <v>97</v>
      </c>
      <c r="E83" s="1253">
        <f>C83*1000</f>
        <v>52000</v>
      </c>
      <c r="F83" s="1683">
        <v>940</v>
      </c>
      <c r="G83" s="64" t="s">
        <v>92</v>
      </c>
      <c r="H83" s="56">
        <f>F83/1000000</f>
        <v>9.3999999999999997E-4</v>
      </c>
      <c r="I83" s="1253">
        <f t="shared" si="23"/>
        <v>1.8076923076923078E-11</v>
      </c>
      <c r="J83" s="131">
        <f t="shared" si="24"/>
        <v>1.8076923076923076E-5</v>
      </c>
      <c r="K83" s="131">
        <f t="shared" si="25"/>
        <v>1.8076923076923079E-14</v>
      </c>
      <c r="L83" s="131">
        <f t="shared" si="26"/>
        <v>1.8076923076923077E-2</v>
      </c>
      <c r="M83" s="1253">
        <f t="shared" si="27"/>
        <v>1.8076923076923078E-8</v>
      </c>
      <c r="N83" s="1724">
        <v>1.80769230769231E-11</v>
      </c>
      <c r="O83" s="1725">
        <v>1.80769230769231E-5</v>
      </c>
      <c r="P83" s="1725">
        <v>1.8076923076923101E-14</v>
      </c>
      <c r="Q83" s="131">
        <v>1.80769E-2</v>
      </c>
      <c r="R83" s="1727">
        <v>1.8076923076923101E-8</v>
      </c>
      <c r="S83" s="1726">
        <f t="shared" si="28"/>
        <v>-1.2512206739083363E-15</v>
      </c>
      <c r="T83" s="139">
        <f t="shared" si="29"/>
        <v>-1.3119999693641077E-15</v>
      </c>
      <c r="U83" s="139">
        <f t="shared" si="30"/>
        <v>-1.2218951893636096E-15</v>
      </c>
      <c r="V83" s="139">
        <f t="shared" si="31"/>
        <v>1.2765957447027968E-6</v>
      </c>
      <c r="W83" s="137">
        <f t="shared" si="32"/>
        <v>-1.2812499700821365E-15</v>
      </c>
    </row>
    <row r="84" spans="3:23" x14ac:dyDescent="0.25">
      <c r="C84" s="1683">
        <v>617</v>
      </c>
      <c r="D84" s="64" t="s">
        <v>98</v>
      </c>
      <c r="E84" s="1253">
        <f>C84/1000</f>
        <v>0.61699999999999999</v>
      </c>
      <c r="F84" s="1683">
        <v>1258</v>
      </c>
      <c r="G84" s="64" t="s">
        <v>92</v>
      </c>
      <c r="H84" s="56">
        <f>F84/1000000</f>
        <v>1.258E-3</v>
      </c>
      <c r="I84" s="1253">
        <f t="shared" si="23"/>
        <v>2.0388978930307943E-6</v>
      </c>
      <c r="J84" s="131">
        <f t="shared" si="24"/>
        <v>2.0388978930307942</v>
      </c>
      <c r="K84" s="131">
        <f t="shared" si="25"/>
        <v>2.0388978930307943E-9</v>
      </c>
      <c r="L84" s="131">
        <f t="shared" si="26"/>
        <v>2038.8978930307942</v>
      </c>
      <c r="M84" s="1253">
        <f t="shared" si="27"/>
        <v>2.0388978930307943E-3</v>
      </c>
      <c r="N84" s="1724">
        <v>2.03889789303079E-6</v>
      </c>
      <c r="O84" s="131">
        <v>2.0388999999999999</v>
      </c>
      <c r="P84" s="1725">
        <v>2.0388978930307901E-9</v>
      </c>
      <c r="Q84" s="131">
        <v>2038.9</v>
      </c>
      <c r="R84" s="56">
        <v>2.0389000000000002E-3</v>
      </c>
      <c r="S84" s="1726">
        <f t="shared" si="28"/>
        <v>2.0771833404447666E-15</v>
      </c>
      <c r="T84" s="139">
        <f t="shared" si="29"/>
        <v>-1.0333863274736782E-6</v>
      </c>
      <c r="U84" s="139">
        <f t="shared" si="30"/>
        <v>2.0284993559030925E-15</v>
      </c>
      <c r="V84" s="139">
        <f t="shared" si="31"/>
        <v>-1.0333863275346645E-6</v>
      </c>
      <c r="W84" s="137">
        <f t="shared" si="32"/>
        <v>-1.0333863275247269E-6</v>
      </c>
    </row>
    <row r="85" spans="3:23" ht="15.75" thickBot="1" x14ac:dyDescent="0.3">
      <c r="C85" s="1705">
        <v>0.28399999999999997</v>
      </c>
      <c r="D85" s="126" t="s">
        <v>99</v>
      </c>
      <c r="E85" s="1706">
        <f>C85/1000000</f>
        <v>2.8399999999999995E-7</v>
      </c>
      <c r="F85" s="1705">
        <v>0.36</v>
      </c>
      <c r="G85" s="126" t="s">
        <v>92</v>
      </c>
      <c r="H85" s="129">
        <f>F85/1000000</f>
        <v>3.5999999999999999E-7</v>
      </c>
      <c r="I85" s="1706">
        <f t="shared" si="23"/>
        <v>1.2676056338028173E-3</v>
      </c>
      <c r="J85" s="133">
        <f t="shared" si="24"/>
        <v>1267.6056338028172</v>
      </c>
      <c r="K85" s="133">
        <f t="shared" si="25"/>
        <v>1.2676056338028171E-6</v>
      </c>
      <c r="L85" s="133">
        <f t="shared" si="26"/>
        <v>1267605.6338028172</v>
      </c>
      <c r="M85" s="1706">
        <f t="shared" si="27"/>
        <v>1.2676056338028172</v>
      </c>
      <c r="N85" s="1705">
        <v>1.26761E-3</v>
      </c>
      <c r="O85" s="133">
        <v>1267.6099999999999</v>
      </c>
      <c r="P85" s="1729">
        <v>1.2676056338028201E-6</v>
      </c>
      <c r="Q85" s="133">
        <v>1267606</v>
      </c>
      <c r="R85" s="129">
        <v>1.2676099999999999</v>
      </c>
      <c r="S85" s="1730">
        <f t="shared" si="28"/>
        <v>-3.4444444441035454E-6</v>
      </c>
      <c r="T85" s="140">
        <f t="shared" si="29"/>
        <v>-3.4444444441002505E-6</v>
      </c>
      <c r="U85" s="140">
        <f t="shared" si="30"/>
        <v>-2.3387520821410399E-15</v>
      </c>
      <c r="V85" s="140">
        <f t="shared" si="31"/>
        <v>-2.8888888865088418E-7</v>
      </c>
      <c r="W85" s="138">
        <f t="shared" si="32"/>
        <v>-3.4444444441240733E-6</v>
      </c>
    </row>
    <row r="86" spans="3:23" ht="15.75" thickTop="1" x14ac:dyDescent="0.25"/>
  </sheetData>
  <mergeCells count="31">
    <mergeCell ref="C2:J2"/>
    <mergeCell ref="C4:E4"/>
    <mergeCell ref="H4:I4"/>
    <mergeCell ref="C8:H8"/>
    <mergeCell ref="C9:E9"/>
    <mergeCell ref="F9:H9"/>
    <mergeCell ref="I8:M8"/>
    <mergeCell ref="E6:G6"/>
    <mergeCell ref="N8:R8"/>
    <mergeCell ref="S8:W8"/>
    <mergeCell ref="I9:M9"/>
    <mergeCell ref="N9:R9"/>
    <mergeCell ref="S9:W9"/>
    <mergeCell ref="Q33:T33"/>
    <mergeCell ref="I34:L34"/>
    <mergeCell ref="M34:P34"/>
    <mergeCell ref="Q34:T34"/>
    <mergeCell ref="C63:H63"/>
    <mergeCell ref="C33:H33"/>
    <mergeCell ref="C34:E34"/>
    <mergeCell ref="F34:H34"/>
    <mergeCell ref="I33:L33"/>
    <mergeCell ref="M33:P33"/>
    <mergeCell ref="C64:E64"/>
    <mergeCell ref="F64:H64"/>
    <mergeCell ref="I63:M63"/>
    <mergeCell ref="N63:R63"/>
    <mergeCell ref="S63:W63"/>
    <mergeCell ref="I64:M64"/>
    <mergeCell ref="N64:R64"/>
    <mergeCell ref="S64:W64"/>
  </mergeCells>
  <conditionalFormatting sqref="S11:W30 Q36:T60 S66:W85">
    <cfRule type="cellIs" priority="1" operator="notBetween">
      <formula>-0.001</formula>
      <formula>0.001</formula>
    </cfRule>
  </conditionalFormatting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AL75"/>
  <sheetViews>
    <sheetView zoomScaleNormal="100" workbookViewId="0">
      <selection activeCell="B2" sqref="B2"/>
    </sheetView>
  </sheetViews>
  <sheetFormatPr defaultColWidth="18.7109375" defaultRowHeight="15" x14ac:dyDescent="0.25"/>
  <cols>
    <col min="1" max="2" width="5.7109375" style="9" customWidth="1"/>
    <col min="3" max="3" width="12.7109375" style="9" customWidth="1"/>
    <col min="4" max="4" width="10.7109375" style="9" customWidth="1"/>
    <col min="5" max="5" width="18.7109375" style="9"/>
    <col min="6" max="6" width="12.7109375" style="9" customWidth="1"/>
    <col min="7" max="7" width="10.7109375" style="9" customWidth="1"/>
    <col min="8" max="16384" width="18.7109375" style="9"/>
  </cols>
  <sheetData>
    <row r="2" spans="3:38" ht="21" x14ac:dyDescent="0.35">
      <c r="C2" s="2490" t="s">
        <v>26</v>
      </c>
      <c r="D2" s="2491"/>
      <c r="E2" s="2491"/>
      <c r="F2" s="2491"/>
      <c r="G2" s="2491"/>
      <c r="H2" s="2491"/>
      <c r="I2" s="2491"/>
      <c r="J2" s="2491"/>
    </row>
    <row r="3" spans="3:38" x14ac:dyDescent="0.25"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</row>
    <row r="4" spans="3:38" x14ac:dyDescent="0.25">
      <c r="C4" s="2501" t="s">
        <v>22</v>
      </c>
      <c r="D4" s="2502"/>
      <c r="E4" s="2503"/>
      <c r="F4" s="20"/>
      <c r="G4" s="20"/>
      <c r="H4" s="2501" t="s">
        <v>23</v>
      </c>
      <c r="I4" s="2503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</row>
    <row r="5" spans="3:38" ht="15.75" thickBot="1" x14ac:dyDescent="0.3"/>
    <row r="6" spans="3:38" ht="19.5" thickBot="1" x14ac:dyDescent="0.35">
      <c r="E6" s="2497" t="s">
        <v>126</v>
      </c>
      <c r="F6" s="2498"/>
      <c r="G6" s="2499"/>
    </row>
    <row r="7" spans="3:38" ht="15.75" thickBot="1" x14ac:dyDescent="0.3"/>
    <row r="8" spans="3:38" ht="15.75" thickTop="1" x14ac:dyDescent="0.25">
      <c r="C8" s="2488" t="s">
        <v>0</v>
      </c>
      <c r="D8" s="2489"/>
      <c r="E8" s="2489"/>
      <c r="F8" s="2489"/>
      <c r="G8" s="2489"/>
      <c r="H8" s="2489"/>
      <c r="I8" s="2483" t="s">
        <v>158</v>
      </c>
      <c r="J8" s="2484"/>
      <c r="K8" s="2484"/>
      <c r="L8" s="2485"/>
      <c r="M8" s="2488" t="s">
        <v>17</v>
      </c>
      <c r="N8" s="2489"/>
      <c r="O8" s="2489"/>
      <c r="P8" s="2495"/>
      <c r="Q8" s="2484" t="s">
        <v>8</v>
      </c>
      <c r="R8" s="2484"/>
      <c r="S8" s="2484"/>
      <c r="T8" s="2485"/>
    </row>
    <row r="9" spans="3:38" ht="15.75" thickBot="1" x14ac:dyDescent="0.3">
      <c r="C9" s="2486" t="s">
        <v>71</v>
      </c>
      <c r="D9" s="2487"/>
      <c r="E9" s="2487"/>
      <c r="F9" s="2486" t="s">
        <v>2</v>
      </c>
      <c r="G9" s="2487"/>
      <c r="H9" s="2487"/>
      <c r="I9" s="2480" t="s">
        <v>145</v>
      </c>
      <c r="J9" s="2481"/>
      <c r="K9" s="2481"/>
      <c r="L9" s="2482"/>
      <c r="M9" s="2486" t="s">
        <v>145</v>
      </c>
      <c r="N9" s="2487"/>
      <c r="O9" s="2487"/>
      <c r="P9" s="2496"/>
      <c r="Q9" s="2480" t="s">
        <v>145</v>
      </c>
      <c r="R9" s="2481"/>
      <c r="S9" s="2481"/>
      <c r="T9" s="2482"/>
    </row>
    <row r="10" spans="3:38" ht="18" thickBot="1" x14ac:dyDescent="0.3">
      <c r="C10" s="14" t="s">
        <v>3</v>
      </c>
      <c r="D10" s="65" t="s">
        <v>4</v>
      </c>
      <c r="E10" s="65" t="s">
        <v>68</v>
      </c>
      <c r="F10" s="14" t="s">
        <v>3</v>
      </c>
      <c r="G10" s="65" t="s">
        <v>4</v>
      </c>
      <c r="H10" s="50" t="s">
        <v>15</v>
      </c>
      <c r="I10" s="13" t="s">
        <v>100</v>
      </c>
      <c r="J10" s="79" t="s">
        <v>101</v>
      </c>
      <c r="K10" s="79" t="s">
        <v>102</v>
      </c>
      <c r="L10" s="54" t="s">
        <v>103</v>
      </c>
      <c r="M10" s="14" t="s">
        <v>100</v>
      </c>
      <c r="N10" s="80" t="s">
        <v>101</v>
      </c>
      <c r="O10" s="80" t="s">
        <v>102</v>
      </c>
      <c r="P10" s="52" t="s">
        <v>103</v>
      </c>
      <c r="Q10" s="53" t="s">
        <v>100</v>
      </c>
      <c r="R10" s="79" t="s">
        <v>101</v>
      </c>
      <c r="S10" s="79" t="s">
        <v>102</v>
      </c>
      <c r="T10" s="54" t="s">
        <v>103</v>
      </c>
    </row>
    <row r="11" spans="3:38" ht="15.75" thickTop="1" x14ac:dyDescent="0.25">
      <c r="C11" s="968">
        <v>2123</v>
      </c>
      <c r="D11" s="964" t="s">
        <v>49</v>
      </c>
      <c r="E11" s="965">
        <f>C11/100000</f>
        <v>2.1229999999999999E-2</v>
      </c>
      <c r="F11" s="968">
        <v>32</v>
      </c>
      <c r="G11" s="964" t="s">
        <v>13</v>
      </c>
      <c r="H11" s="965">
        <f t="shared" ref="H11:H16" si="0">F11*3600</f>
        <v>115200</v>
      </c>
      <c r="I11" s="1140">
        <f>L11*1000</f>
        <v>1.8428819444444444E-4</v>
      </c>
      <c r="J11" s="1141">
        <f>L11*3600</f>
        <v>6.6343749999999996E-4</v>
      </c>
      <c r="K11" s="1141">
        <f>L11*60</f>
        <v>1.1057291666666667E-5</v>
      </c>
      <c r="L11" s="1142">
        <f>E11/H11</f>
        <v>1.8428819444444444E-7</v>
      </c>
      <c r="M11" s="1143">
        <v>1.8428800000000001E-4</v>
      </c>
      <c r="N11" s="1144">
        <v>6.6343800000000003E-4</v>
      </c>
      <c r="O11" s="1144">
        <v>1.1057291666666701E-5</v>
      </c>
      <c r="P11" s="1145">
        <v>1.8428819444444399E-7</v>
      </c>
      <c r="Q11" s="1104">
        <f xml:space="preserve"> (I11-M11)/I11</f>
        <v>1.0551106923512939E-6</v>
      </c>
      <c r="R11" s="886">
        <f xml:space="preserve"> (J11-N11)/J11</f>
        <v>-7.5365049467671449E-7</v>
      </c>
      <c r="S11" s="886">
        <f xml:space="preserve"> (K11-O11)/K11</f>
        <v>-3.0641606382067953E-15</v>
      </c>
      <c r="T11" s="887">
        <f xml:space="preserve"> (L11-P11)/L11</f>
        <v>2.4417530085710401E-15</v>
      </c>
    </row>
    <row r="12" spans="3:38" x14ac:dyDescent="0.25">
      <c r="C12" s="1059">
        <v>984</v>
      </c>
      <c r="D12" s="59" t="s">
        <v>50</v>
      </c>
      <c r="E12" s="32">
        <f>C12/10000</f>
        <v>9.8400000000000001E-2</v>
      </c>
      <c r="F12" s="1059">
        <v>198</v>
      </c>
      <c r="G12" s="59" t="s">
        <v>13</v>
      </c>
      <c r="H12" s="32">
        <f t="shared" si="0"/>
        <v>712800</v>
      </c>
      <c r="I12" s="1129">
        <f t="shared" ref="I12:I28" si="1">L12*1000</f>
        <v>1.3804713804713807E-4</v>
      </c>
      <c r="J12" s="1127">
        <f t="shared" ref="J12:J28" si="2">L12*3600</f>
        <v>4.9696969696969701E-4</v>
      </c>
      <c r="K12" s="1127">
        <f t="shared" ref="K12:K28" si="3">L12*60</f>
        <v>8.2828282828282835E-6</v>
      </c>
      <c r="L12" s="1130">
        <f t="shared" ref="L12:L28" si="4">E12/H12</f>
        <v>1.3804713804713806E-7</v>
      </c>
      <c r="M12" s="1146">
        <v>1.38047E-4</v>
      </c>
      <c r="N12" s="1147">
        <v>4.9697000000000001E-4</v>
      </c>
      <c r="O12" s="1147">
        <v>8.2828282828282801E-6</v>
      </c>
      <c r="P12" s="1148">
        <v>1.3804713804713801E-7</v>
      </c>
      <c r="Q12" s="1115">
        <f t="shared" ref="Q12:Q28" si="5" xml:space="preserve"> (I12-M12)/I12</f>
        <v>1.0000000001320986E-6</v>
      </c>
      <c r="R12" s="898">
        <f t="shared" ref="R12:R28" si="6" xml:space="preserve"> (J12-N12)/J12</f>
        <v>-6.0975609749785543E-7</v>
      </c>
      <c r="S12" s="898">
        <f t="shared" ref="S12:S28" si="7" xml:space="preserve"> (K12-O12)/K12</f>
        <v>4.0905493550329623E-16</v>
      </c>
      <c r="T12" s="899">
        <f t="shared" ref="T12:T28" si="8" xml:space="preserve"> (L12-P12)/L12</f>
        <v>3.8348900203434022E-16</v>
      </c>
    </row>
    <row r="13" spans="3:38" x14ac:dyDescent="0.25">
      <c r="C13" s="1059">
        <v>15</v>
      </c>
      <c r="D13" s="59" t="s">
        <v>51</v>
      </c>
      <c r="E13" s="32">
        <f>C13/10</f>
        <v>1.5</v>
      </c>
      <c r="F13" s="1059">
        <v>9498</v>
      </c>
      <c r="G13" s="59" t="s">
        <v>13</v>
      </c>
      <c r="H13" s="32">
        <f t="shared" si="0"/>
        <v>34192800</v>
      </c>
      <c r="I13" s="1129">
        <f t="shared" si="1"/>
        <v>4.3868884677475958E-5</v>
      </c>
      <c r="J13" s="1127">
        <f t="shared" si="2"/>
        <v>1.5792798483891344E-4</v>
      </c>
      <c r="K13" s="1127">
        <f t="shared" si="3"/>
        <v>2.6321330806485578E-6</v>
      </c>
      <c r="L13" s="1130">
        <f t="shared" si="4"/>
        <v>4.386888467747596E-8</v>
      </c>
      <c r="M13" s="1146">
        <v>4.3868884677475998E-5</v>
      </c>
      <c r="N13" s="1147">
        <v>1.57928E-4</v>
      </c>
      <c r="O13" s="1147">
        <v>2.6321330806485599E-6</v>
      </c>
      <c r="P13" s="1148">
        <v>4.3868884677476E-8</v>
      </c>
      <c r="Q13" s="1115">
        <f t="shared" si="5"/>
        <v>-9.2679770108405898E-16</v>
      </c>
      <c r="R13" s="898">
        <f t="shared" si="6"/>
        <v>-9.6000000045855425E-8</v>
      </c>
      <c r="S13" s="898">
        <f t="shared" si="7"/>
        <v>-8.0451189330213436E-16</v>
      </c>
      <c r="T13" s="899">
        <f t="shared" si="8"/>
        <v>-9.0507587996490127E-16</v>
      </c>
    </row>
    <row r="14" spans="3:38" x14ac:dyDescent="0.25">
      <c r="C14" s="1059">
        <v>6189</v>
      </c>
      <c r="D14" s="59" t="s">
        <v>52</v>
      </c>
      <c r="E14" s="32">
        <f>C14/1000</f>
        <v>6.1890000000000001</v>
      </c>
      <c r="F14" s="1059">
        <v>984</v>
      </c>
      <c r="G14" s="59" t="s">
        <v>13</v>
      </c>
      <c r="H14" s="32">
        <f t="shared" si="0"/>
        <v>3542400</v>
      </c>
      <c r="I14" s="1129">
        <f t="shared" si="1"/>
        <v>1.7471205962059622E-3</v>
      </c>
      <c r="J14" s="1127">
        <f t="shared" si="2"/>
        <v>6.2896341463414638E-3</v>
      </c>
      <c r="K14" s="1127">
        <f t="shared" si="3"/>
        <v>1.0482723577235772E-4</v>
      </c>
      <c r="L14" s="1130">
        <f t="shared" si="4"/>
        <v>1.7471205962059621E-6</v>
      </c>
      <c r="M14" s="1146">
        <v>1.74712E-3</v>
      </c>
      <c r="N14" s="1147">
        <v>6.28963E-3</v>
      </c>
      <c r="O14" s="1147">
        <v>1.04827E-4</v>
      </c>
      <c r="P14" s="1148">
        <v>1.74712059620596E-6</v>
      </c>
      <c r="Q14" s="1115">
        <f t="shared" si="5"/>
        <v>3.4125060599645135E-7</v>
      </c>
      <c r="R14" s="898">
        <f t="shared" si="6"/>
        <v>6.5923412511385572E-7</v>
      </c>
      <c r="S14" s="898">
        <f t="shared" si="7"/>
        <v>2.2491517207525915E-6</v>
      </c>
      <c r="T14" s="899">
        <f t="shared" si="8"/>
        <v>1.2120413283057171E-15</v>
      </c>
    </row>
    <row r="15" spans="3:38" ht="17.25" x14ac:dyDescent="0.25">
      <c r="C15" s="1059">
        <v>189</v>
      </c>
      <c r="D15" s="59" t="s">
        <v>68</v>
      </c>
      <c r="E15" s="32">
        <f>C15</f>
        <v>189</v>
      </c>
      <c r="F15" s="1059">
        <v>921</v>
      </c>
      <c r="G15" s="59" t="s">
        <v>13</v>
      </c>
      <c r="H15" s="32">
        <f t="shared" si="0"/>
        <v>3315600</v>
      </c>
      <c r="I15" s="1129">
        <f t="shared" si="1"/>
        <v>5.7003257328990226E-2</v>
      </c>
      <c r="J15" s="1127">
        <f t="shared" si="2"/>
        <v>0.2052117263843648</v>
      </c>
      <c r="K15" s="1127">
        <f t="shared" si="3"/>
        <v>3.4201954397394133E-3</v>
      </c>
      <c r="L15" s="1130">
        <f t="shared" si="4"/>
        <v>5.7003257328990225E-5</v>
      </c>
      <c r="M15" s="1146">
        <v>5.70033E-2</v>
      </c>
      <c r="N15" s="1147">
        <v>0.20521200000000001</v>
      </c>
      <c r="O15" s="1147">
        <v>3.4202E-3</v>
      </c>
      <c r="P15" s="1148">
        <v>5.7003257328990198E-5</v>
      </c>
      <c r="Q15" s="1115">
        <f t="shared" si="5"/>
        <v>-7.4857142861079718E-7</v>
      </c>
      <c r="R15" s="898">
        <f t="shared" si="6"/>
        <v>-1.3333333334571438E-6</v>
      </c>
      <c r="S15" s="898">
        <f t="shared" si="7"/>
        <v>-1.3333333334402372E-6</v>
      </c>
      <c r="T15" s="899">
        <f t="shared" si="8"/>
        <v>4.7550009564721414E-16</v>
      </c>
    </row>
    <row r="16" spans="3:38" ht="15.75" thickBot="1" x14ac:dyDescent="0.3">
      <c r="C16" s="1131">
        <v>8949</v>
      </c>
      <c r="D16" s="1132" t="s">
        <v>54</v>
      </c>
      <c r="E16" s="1133">
        <f>C16/1000000</f>
        <v>8.9490000000000004E-3</v>
      </c>
      <c r="F16" s="1131">
        <v>19</v>
      </c>
      <c r="G16" s="1132" t="s">
        <v>13</v>
      </c>
      <c r="H16" s="1133">
        <f t="shared" si="0"/>
        <v>68400</v>
      </c>
      <c r="I16" s="1138">
        <f t="shared" si="1"/>
        <v>1.3083333333333333E-4</v>
      </c>
      <c r="J16" s="1136">
        <f t="shared" si="2"/>
        <v>4.7100000000000001E-4</v>
      </c>
      <c r="K16" s="1136">
        <f t="shared" si="3"/>
        <v>7.8499999999999994E-6</v>
      </c>
      <c r="L16" s="1139">
        <f t="shared" si="4"/>
        <v>1.3083333333333333E-7</v>
      </c>
      <c r="M16" s="1149">
        <v>1.3083300000000001E-4</v>
      </c>
      <c r="N16" s="1150">
        <v>4.7100000000000001E-4</v>
      </c>
      <c r="O16" s="1150">
        <v>7.8499999999999994E-6</v>
      </c>
      <c r="P16" s="1151">
        <v>1.3083333333333299E-7</v>
      </c>
      <c r="Q16" s="1008">
        <f t="shared" si="5"/>
        <v>2.5477707005389429E-6</v>
      </c>
      <c r="R16" s="1009">
        <f t="shared" si="6"/>
        <v>0</v>
      </c>
      <c r="S16" s="1009">
        <f t="shared" si="7"/>
        <v>0</v>
      </c>
      <c r="T16" s="1010">
        <f t="shared" si="8"/>
        <v>2.6301182279393085E-15</v>
      </c>
    </row>
    <row r="17" spans="3:20" ht="15.75" thickTop="1" x14ac:dyDescent="0.25">
      <c r="C17" s="1485">
        <v>61</v>
      </c>
      <c r="D17" s="1486" t="s">
        <v>49</v>
      </c>
      <c r="E17" s="1487">
        <f>C17/100000</f>
        <v>6.0999999999999997E-4</v>
      </c>
      <c r="F17" s="1485">
        <v>189</v>
      </c>
      <c r="G17" s="1486" t="s">
        <v>14</v>
      </c>
      <c r="H17" s="1487">
        <f t="shared" ref="H17:H22" si="9">F17*60</f>
        <v>11340</v>
      </c>
      <c r="I17" s="1504">
        <f t="shared" si="1"/>
        <v>5.3791887125220459E-5</v>
      </c>
      <c r="J17" s="1505">
        <f t="shared" si="2"/>
        <v>1.9365079365079365E-4</v>
      </c>
      <c r="K17" s="1505">
        <f t="shared" si="3"/>
        <v>3.2275132275132272E-6</v>
      </c>
      <c r="L17" s="1506">
        <f t="shared" si="4"/>
        <v>5.3791887125220457E-8</v>
      </c>
      <c r="M17" s="1507">
        <v>5.3791887125220499E-5</v>
      </c>
      <c r="N17" s="1508">
        <v>1.9365100000000001E-4</v>
      </c>
      <c r="O17" s="1508">
        <v>3.2275132275132298E-6</v>
      </c>
      <c r="P17" s="1509">
        <v>5.3791887125220497E-8</v>
      </c>
      <c r="Q17" s="1426">
        <f t="shared" si="5"/>
        <v>-7.5583110467124714E-16</v>
      </c>
      <c r="R17" s="1368">
        <f t="shared" si="6"/>
        <v>-1.0655737705374635E-6</v>
      </c>
      <c r="S17" s="1368">
        <f t="shared" si="7"/>
        <v>-7.873240673658825E-16</v>
      </c>
      <c r="T17" s="1369">
        <f t="shared" si="8"/>
        <v>-7.3811631315551484E-16</v>
      </c>
    </row>
    <row r="18" spans="3:20" x14ac:dyDescent="0.25">
      <c r="C18" s="1435">
        <v>165</v>
      </c>
      <c r="D18" s="1269" t="s">
        <v>50</v>
      </c>
      <c r="E18" s="1254">
        <f>C18/10000</f>
        <v>1.6500000000000001E-2</v>
      </c>
      <c r="F18" s="1435">
        <v>498498</v>
      </c>
      <c r="G18" s="1269" t="s">
        <v>14</v>
      </c>
      <c r="H18" s="1254">
        <f t="shared" si="9"/>
        <v>29909880</v>
      </c>
      <c r="I18" s="1510">
        <f t="shared" si="1"/>
        <v>5.5165717816320232E-7</v>
      </c>
      <c r="J18" s="1511">
        <f t="shared" si="2"/>
        <v>1.9859658413875284E-6</v>
      </c>
      <c r="K18" s="1511">
        <f t="shared" si="3"/>
        <v>3.3099430689792142E-8</v>
      </c>
      <c r="L18" s="1512">
        <f t="shared" si="4"/>
        <v>5.5165717816320232E-10</v>
      </c>
      <c r="M18" s="1513">
        <v>5.5165717816320201E-7</v>
      </c>
      <c r="N18" s="1514">
        <v>1.9859658413875301E-6</v>
      </c>
      <c r="O18" s="1514">
        <v>3.3099430689792102E-8</v>
      </c>
      <c r="P18" s="1515">
        <v>5.5165717816320201E-10</v>
      </c>
      <c r="Q18" s="1498">
        <f t="shared" si="5"/>
        <v>5.7578758655505564E-16</v>
      </c>
      <c r="R18" s="1278">
        <f t="shared" si="6"/>
        <v>-8.530186467482306E-16</v>
      </c>
      <c r="S18" s="1278">
        <f t="shared" si="7"/>
        <v>1.1995574719896993E-15</v>
      </c>
      <c r="T18" s="1279">
        <f t="shared" si="8"/>
        <v>5.6229256499517152E-16</v>
      </c>
    </row>
    <row r="19" spans="3:20" x14ac:dyDescent="0.25">
      <c r="C19" s="1435">
        <v>198</v>
      </c>
      <c r="D19" s="1269" t="s">
        <v>51</v>
      </c>
      <c r="E19" s="1254">
        <f>C19/10</f>
        <v>19.8</v>
      </c>
      <c r="F19" s="1435">
        <v>7484</v>
      </c>
      <c r="G19" s="1269" t="s">
        <v>14</v>
      </c>
      <c r="H19" s="1254">
        <f t="shared" si="9"/>
        <v>449040</v>
      </c>
      <c r="I19" s="1510">
        <f t="shared" si="1"/>
        <v>4.4094067343666492E-2</v>
      </c>
      <c r="J19" s="1511">
        <f t="shared" si="2"/>
        <v>0.15873864243719937</v>
      </c>
      <c r="K19" s="1511">
        <f t="shared" si="3"/>
        <v>2.6456440406199895E-3</v>
      </c>
      <c r="L19" s="1512">
        <f t="shared" si="4"/>
        <v>4.4094067343666493E-5</v>
      </c>
      <c r="M19" s="1513">
        <v>4.4094099999999997E-2</v>
      </c>
      <c r="N19" s="1514">
        <v>0.15873899999999999</v>
      </c>
      <c r="O19" s="1514">
        <v>2.6456399999999999E-3</v>
      </c>
      <c r="P19" s="1515">
        <v>4.40940673436665E-5</v>
      </c>
      <c r="Q19" s="1498">
        <f t="shared" si="5"/>
        <v>-7.4060606046814115E-7</v>
      </c>
      <c r="R19" s="1278">
        <f t="shared" si="6"/>
        <v>-2.2525252523783537E-6</v>
      </c>
      <c r="S19" s="1278">
        <f t="shared" si="7"/>
        <v>1.527272727397178E-6</v>
      </c>
      <c r="T19" s="1279">
        <f t="shared" si="8"/>
        <v>-1.5367744429699838E-16</v>
      </c>
    </row>
    <row r="20" spans="3:20" x14ac:dyDescent="0.25">
      <c r="C20" s="1435">
        <v>498</v>
      </c>
      <c r="D20" s="1269" t="s">
        <v>52</v>
      </c>
      <c r="E20" s="1254">
        <f>C20/1000</f>
        <v>0.498</v>
      </c>
      <c r="F20" s="1435">
        <v>418</v>
      </c>
      <c r="G20" s="1269" t="s">
        <v>14</v>
      </c>
      <c r="H20" s="1254">
        <f t="shared" si="9"/>
        <v>25080</v>
      </c>
      <c r="I20" s="1510">
        <f t="shared" si="1"/>
        <v>1.9856459330143537E-2</v>
      </c>
      <c r="J20" s="1511">
        <f t="shared" si="2"/>
        <v>7.1483253588516746E-2</v>
      </c>
      <c r="K20" s="1511">
        <f t="shared" si="3"/>
        <v>1.1913875598086124E-3</v>
      </c>
      <c r="L20" s="1512">
        <f t="shared" si="4"/>
        <v>1.9856459330143539E-5</v>
      </c>
      <c r="M20" s="1513">
        <v>1.9856499999999999E-2</v>
      </c>
      <c r="N20" s="1514">
        <v>7.14833E-2</v>
      </c>
      <c r="O20" s="1514">
        <v>1.1913900000000001E-3</v>
      </c>
      <c r="P20" s="1515">
        <v>1.9856459330143498E-5</v>
      </c>
      <c r="Q20" s="1498">
        <f t="shared" si="5"/>
        <v>-2.0481927712050996E-6</v>
      </c>
      <c r="R20" s="1278">
        <f t="shared" si="6"/>
        <v>-6.4926372155575682E-7</v>
      </c>
      <c r="S20" s="1278">
        <f t="shared" si="7"/>
        <v>-2.0481927712123798E-6</v>
      </c>
      <c r="T20" s="1279">
        <f t="shared" si="8"/>
        <v>2.0475745847843714E-15</v>
      </c>
    </row>
    <row r="21" spans="3:20" ht="17.25" x14ac:dyDescent="0.25">
      <c r="C21" s="1435">
        <v>289</v>
      </c>
      <c r="D21" s="1269" t="s">
        <v>68</v>
      </c>
      <c r="E21" s="1254">
        <f>C21</f>
        <v>289</v>
      </c>
      <c r="F21" s="1435">
        <v>189</v>
      </c>
      <c r="G21" s="1269" t="s">
        <v>14</v>
      </c>
      <c r="H21" s="1254">
        <f t="shared" si="9"/>
        <v>11340</v>
      </c>
      <c r="I21" s="1510">
        <f t="shared" si="1"/>
        <v>25.485008818342152</v>
      </c>
      <c r="J21" s="1511">
        <f t="shared" si="2"/>
        <v>91.746031746031747</v>
      </c>
      <c r="K21" s="1511">
        <f t="shared" si="3"/>
        <v>1.5291005291005291</v>
      </c>
      <c r="L21" s="1512">
        <f t="shared" si="4"/>
        <v>2.5485008818342151E-2</v>
      </c>
      <c r="M21" s="1513">
        <v>25.484999999999999</v>
      </c>
      <c r="N21" s="1514">
        <v>91.745999999999995</v>
      </c>
      <c r="O21" s="1514">
        <v>1.5290999999999999</v>
      </c>
      <c r="P21" s="1515">
        <v>2.5485000000000001E-2</v>
      </c>
      <c r="Q21" s="1498">
        <f t="shared" si="5"/>
        <v>3.4602076127781387E-7</v>
      </c>
      <c r="R21" s="1278">
        <f t="shared" si="6"/>
        <v>3.4602076130879256E-7</v>
      </c>
      <c r="S21" s="1278">
        <f t="shared" si="7"/>
        <v>3.4602076128943093E-7</v>
      </c>
      <c r="T21" s="1279">
        <f t="shared" si="8"/>
        <v>3.4602076118959729E-7</v>
      </c>
    </row>
    <row r="22" spans="3:20" ht="15.75" thickBot="1" x14ac:dyDescent="0.3">
      <c r="C22" s="1485">
        <v>8516</v>
      </c>
      <c r="D22" s="1486" t="s">
        <v>54</v>
      </c>
      <c r="E22" s="1487">
        <f>C22/1000000</f>
        <v>8.5159999999999993E-3</v>
      </c>
      <c r="F22" s="1485">
        <v>5125</v>
      </c>
      <c r="G22" s="1486" t="s">
        <v>14</v>
      </c>
      <c r="H22" s="1487">
        <f t="shared" si="9"/>
        <v>307500</v>
      </c>
      <c r="I22" s="1504">
        <f t="shared" si="1"/>
        <v>2.7694308943089426E-5</v>
      </c>
      <c r="J22" s="1505">
        <f t="shared" si="2"/>
        <v>9.9699512195121936E-5</v>
      </c>
      <c r="K22" s="1505">
        <f t="shared" si="3"/>
        <v>1.6616585365853657E-6</v>
      </c>
      <c r="L22" s="1506">
        <f t="shared" si="4"/>
        <v>2.7694308943089427E-8</v>
      </c>
      <c r="M22" s="1507">
        <v>2.7694308943089399E-5</v>
      </c>
      <c r="N22" s="1508">
        <v>9.9699512195121896E-5</v>
      </c>
      <c r="O22" s="1508">
        <v>1.6616585365853699E-6</v>
      </c>
      <c r="P22" s="1509">
        <v>2.76943089430894E-8</v>
      </c>
      <c r="Q22" s="1426">
        <f t="shared" si="5"/>
        <v>9.7872289818956277E-16</v>
      </c>
      <c r="R22" s="1368">
        <f t="shared" si="6"/>
        <v>4.0780120757898447E-16</v>
      </c>
      <c r="S22" s="1368">
        <f t="shared" si="7"/>
        <v>-2.5487575473686528E-15</v>
      </c>
      <c r="T22" s="1369">
        <f t="shared" si="8"/>
        <v>9.5578408026324483E-16</v>
      </c>
    </row>
    <row r="23" spans="3:20" ht="15.75" thickTop="1" x14ac:dyDescent="0.25">
      <c r="C23" s="308">
        <v>169</v>
      </c>
      <c r="D23" s="74" t="s">
        <v>49</v>
      </c>
      <c r="E23" s="23">
        <f>C23/100000</f>
        <v>1.6900000000000001E-3</v>
      </c>
      <c r="F23" s="308">
        <v>9849</v>
      </c>
      <c r="G23" s="74" t="s">
        <v>15</v>
      </c>
      <c r="H23" s="23">
        <f t="shared" ref="H23:H28" si="10">F23</f>
        <v>9849</v>
      </c>
      <c r="I23" s="781">
        <f t="shared" si="1"/>
        <v>1.7159102446948928E-4</v>
      </c>
      <c r="J23" s="782">
        <f t="shared" si="2"/>
        <v>6.1772768809016144E-4</v>
      </c>
      <c r="K23" s="782">
        <f t="shared" si="3"/>
        <v>1.0295461468169357E-5</v>
      </c>
      <c r="L23" s="783">
        <f t="shared" si="4"/>
        <v>1.7159102446948929E-7</v>
      </c>
      <c r="M23" s="792">
        <v>1.7159099999999999E-4</v>
      </c>
      <c r="N23" s="793">
        <v>6.1772800000000001E-4</v>
      </c>
      <c r="O23" s="793">
        <v>1.0295461468169399E-5</v>
      </c>
      <c r="P23" s="794">
        <v>1.71591024469489E-7</v>
      </c>
      <c r="Q23" s="321">
        <f t="shared" si="5"/>
        <v>1.4260355029119074E-7</v>
      </c>
      <c r="R23" s="315">
        <f t="shared" si="6"/>
        <v>-5.0493096646673942E-7</v>
      </c>
      <c r="S23" s="315">
        <f t="shared" si="7"/>
        <v>-4.1136230263844203E-15</v>
      </c>
      <c r="T23" s="343">
        <f t="shared" si="8"/>
        <v>1.6968694983835733E-15</v>
      </c>
    </row>
    <row r="24" spans="3:20" x14ac:dyDescent="0.25">
      <c r="C24" s="310">
        <v>194</v>
      </c>
      <c r="D24" s="62" t="s">
        <v>50</v>
      </c>
      <c r="E24" s="34">
        <f>C24/10000</f>
        <v>1.9400000000000001E-2</v>
      </c>
      <c r="F24" s="310">
        <v>949</v>
      </c>
      <c r="G24" s="62" t="s">
        <v>15</v>
      </c>
      <c r="H24" s="34">
        <f t="shared" si="10"/>
        <v>949</v>
      </c>
      <c r="I24" s="784">
        <f t="shared" si="1"/>
        <v>2.0442571127502633E-2</v>
      </c>
      <c r="J24" s="766">
        <f t="shared" si="2"/>
        <v>7.3593256059009474E-2</v>
      </c>
      <c r="K24" s="766">
        <f t="shared" si="3"/>
        <v>1.226554267650158E-3</v>
      </c>
      <c r="L24" s="785">
        <f t="shared" si="4"/>
        <v>2.0442571127502633E-5</v>
      </c>
      <c r="M24" s="795">
        <v>2.0442599999999998E-2</v>
      </c>
      <c r="N24" s="796">
        <v>7.35933E-2</v>
      </c>
      <c r="O24" s="796">
        <v>1.2265500000000001E-3</v>
      </c>
      <c r="P24" s="797">
        <v>2.0442571127502599E-5</v>
      </c>
      <c r="Q24" s="334">
        <f t="shared" si="5"/>
        <v>-1.4123711339968509E-6</v>
      </c>
      <c r="R24" s="156">
        <f t="shared" si="6"/>
        <v>-5.9707903794204945E-7</v>
      </c>
      <c r="S24" s="156">
        <f t="shared" si="7"/>
        <v>3.4793814432158988E-6</v>
      </c>
      <c r="T24" s="157">
        <f t="shared" si="8"/>
        <v>1.6573902411223322E-15</v>
      </c>
    </row>
    <row r="25" spans="3:20" x14ac:dyDescent="0.25">
      <c r="C25" s="310">
        <v>194</v>
      </c>
      <c r="D25" s="62" t="s">
        <v>51</v>
      </c>
      <c r="E25" s="34">
        <f>C25/10</f>
        <v>19.399999999999999</v>
      </c>
      <c r="F25" s="310">
        <v>984</v>
      </c>
      <c r="G25" s="62" t="s">
        <v>15</v>
      </c>
      <c r="H25" s="34">
        <f t="shared" si="10"/>
        <v>984</v>
      </c>
      <c r="I25" s="784">
        <f t="shared" si="1"/>
        <v>19.715447154471544</v>
      </c>
      <c r="J25" s="766">
        <f t="shared" si="2"/>
        <v>70.975609756097555</v>
      </c>
      <c r="K25" s="766">
        <f t="shared" si="3"/>
        <v>1.1829268292682926</v>
      </c>
      <c r="L25" s="785">
        <f t="shared" si="4"/>
        <v>1.9715447154471544E-2</v>
      </c>
      <c r="M25" s="795">
        <v>19.715399999999999</v>
      </c>
      <c r="N25" s="796">
        <v>70.9756</v>
      </c>
      <c r="O25" s="796">
        <v>1.18293</v>
      </c>
      <c r="P25" s="797">
        <v>1.9715400000000001E-2</v>
      </c>
      <c r="Q25" s="334">
        <f t="shared" si="5"/>
        <v>2.3917525773462441E-6</v>
      </c>
      <c r="R25" s="156">
        <f t="shared" si="6"/>
        <v>1.3745704458531698E-7</v>
      </c>
      <c r="S25" s="156">
        <f t="shared" si="7"/>
        <v>-2.6804123712156761E-6</v>
      </c>
      <c r="T25" s="157">
        <f t="shared" si="8"/>
        <v>2.3917525772195416E-6</v>
      </c>
    </row>
    <row r="26" spans="3:20" x14ac:dyDescent="0.25">
      <c r="C26" s="310">
        <v>489</v>
      </c>
      <c r="D26" s="62" t="s">
        <v>52</v>
      </c>
      <c r="E26" s="34">
        <f>C26/1000</f>
        <v>0.48899999999999999</v>
      </c>
      <c r="F26" s="310">
        <v>98</v>
      </c>
      <c r="G26" s="62" t="s">
        <v>15</v>
      </c>
      <c r="H26" s="34">
        <f t="shared" si="10"/>
        <v>98</v>
      </c>
      <c r="I26" s="784">
        <f t="shared" si="1"/>
        <v>4.9897959183673466</v>
      </c>
      <c r="J26" s="766">
        <f t="shared" si="2"/>
        <v>17.963265306122448</v>
      </c>
      <c r="K26" s="766">
        <f t="shared" si="3"/>
        <v>0.2993877551020408</v>
      </c>
      <c r="L26" s="785">
        <f t="shared" si="4"/>
        <v>4.9897959183673466E-3</v>
      </c>
      <c r="M26" s="795">
        <v>4.9897999999999998</v>
      </c>
      <c r="N26" s="796">
        <v>17.9633</v>
      </c>
      <c r="O26" s="796">
        <v>0.29938799999999999</v>
      </c>
      <c r="P26" s="797">
        <v>4.9898E-3</v>
      </c>
      <c r="Q26" s="334">
        <f t="shared" si="5"/>
        <v>-8.1799591004760455E-7</v>
      </c>
      <c r="R26" s="156">
        <f t="shared" si="6"/>
        <v>-1.9313792320568443E-6</v>
      </c>
      <c r="S26" s="156">
        <f t="shared" si="7"/>
        <v>-8.1799591004018793E-7</v>
      </c>
      <c r="T26" s="157">
        <f t="shared" si="8"/>
        <v>-8.1799591008654192E-7</v>
      </c>
    </row>
    <row r="27" spans="3:20" ht="17.25" x14ac:dyDescent="0.25">
      <c r="C27" s="310">
        <v>85</v>
      </c>
      <c r="D27" s="62" t="s">
        <v>68</v>
      </c>
      <c r="E27" s="34">
        <f>C27</f>
        <v>85</v>
      </c>
      <c r="F27" s="310">
        <v>9849</v>
      </c>
      <c r="G27" s="62" t="s">
        <v>15</v>
      </c>
      <c r="H27" s="34">
        <f t="shared" si="10"/>
        <v>9849</v>
      </c>
      <c r="I27" s="784">
        <f t="shared" si="1"/>
        <v>8.6303177987612951</v>
      </c>
      <c r="J27" s="766">
        <f t="shared" si="2"/>
        <v>31.069144075540663</v>
      </c>
      <c r="K27" s="766">
        <f t="shared" si="3"/>
        <v>0.51781906792567767</v>
      </c>
      <c r="L27" s="785">
        <f t="shared" si="4"/>
        <v>8.6303177987612952E-3</v>
      </c>
      <c r="M27" s="795">
        <v>8.6303199999999993</v>
      </c>
      <c r="N27" s="796">
        <v>31.069099999999999</v>
      </c>
      <c r="O27" s="796">
        <v>0.51781900000000003</v>
      </c>
      <c r="P27" s="797">
        <v>8.6303200000000004E-3</v>
      </c>
      <c r="Q27" s="334">
        <f t="shared" si="5"/>
        <v>-2.5505882350224303E-7</v>
      </c>
      <c r="R27" s="156">
        <f t="shared" si="6"/>
        <v>1.4186274509899385E-6</v>
      </c>
      <c r="S27" s="156">
        <f t="shared" si="7"/>
        <v>1.311764704035307E-7</v>
      </c>
      <c r="T27" s="157">
        <f t="shared" si="8"/>
        <v>-2.5505882361802099E-7</v>
      </c>
    </row>
    <row r="28" spans="3:20" ht="15.75" thickBot="1" x14ac:dyDescent="0.3">
      <c r="C28" s="322">
        <v>23</v>
      </c>
      <c r="D28" s="73" t="s">
        <v>54</v>
      </c>
      <c r="E28" s="21">
        <f>C28/1000000</f>
        <v>2.3E-5</v>
      </c>
      <c r="F28" s="322">
        <v>8949</v>
      </c>
      <c r="G28" s="73" t="s">
        <v>15</v>
      </c>
      <c r="H28" s="21">
        <f t="shared" si="10"/>
        <v>8949</v>
      </c>
      <c r="I28" s="786">
        <f t="shared" si="1"/>
        <v>2.5701195664320035E-6</v>
      </c>
      <c r="J28" s="768">
        <f t="shared" si="2"/>
        <v>9.2524304391552142E-6</v>
      </c>
      <c r="K28" s="768">
        <f t="shared" si="3"/>
        <v>1.5420717398592022E-7</v>
      </c>
      <c r="L28" s="787">
        <f t="shared" si="4"/>
        <v>2.5701195664320037E-9</v>
      </c>
      <c r="M28" s="798">
        <v>2.5701195664320001E-6</v>
      </c>
      <c r="N28" s="799">
        <v>9.2524304391552092E-6</v>
      </c>
      <c r="O28" s="799">
        <v>1.5420717398592E-7</v>
      </c>
      <c r="P28" s="800">
        <v>2.570119566432E-9</v>
      </c>
      <c r="Q28" s="339">
        <f t="shared" si="5"/>
        <v>1.3182778860832581E-15</v>
      </c>
      <c r="R28" s="197">
        <f t="shared" si="6"/>
        <v>5.4928245253469073E-16</v>
      </c>
      <c r="S28" s="197">
        <f t="shared" si="7"/>
        <v>1.3732061313367272E-15</v>
      </c>
      <c r="T28" s="198">
        <f t="shared" si="8"/>
        <v>1.4483033416442043E-15</v>
      </c>
    </row>
    <row r="29" spans="3:20" ht="15.75" thickTop="1" x14ac:dyDescent="0.25"/>
    <row r="30" spans="3:20" ht="15.75" thickBot="1" x14ac:dyDescent="0.3"/>
    <row r="31" spans="3:20" ht="15.75" thickTop="1" x14ac:dyDescent="0.25">
      <c r="C31" s="2488" t="s">
        <v>0</v>
      </c>
      <c r="D31" s="2489"/>
      <c r="E31" s="2489"/>
      <c r="F31" s="2489"/>
      <c r="G31" s="2489"/>
      <c r="H31" s="2495"/>
      <c r="I31" s="2483" t="s">
        <v>158</v>
      </c>
      <c r="J31" s="2484"/>
      <c r="K31" s="2484"/>
      <c r="L31" s="2488" t="s">
        <v>16</v>
      </c>
      <c r="M31" s="2489"/>
      <c r="N31" s="2495"/>
      <c r="O31" s="2483" t="s">
        <v>8</v>
      </c>
      <c r="P31" s="2484"/>
      <c r="Q31" s="2485"/>
    </row>
    <row r="32" spans="3:20" ht="15.75" thickBot="1" x14ac:dyDescent="0.3">
      <c r="C32" s="2486" t="s">
        <v>145</v>
      </c>
      <c r="D32" s="2487"/>
      <c r="E32" s="2487"/>
      <c r="F32" s="2486" t="s">
        <v>71</v>
      </c>
      <c r="G32" s="2487"/>
      <c r="H32" s="2496"/>
      <c r="I32" s="2480" t="s">
        <v>2</v>
      </c>
      <c r="J32" s="2481"/>
      <c r="K32" s="2481"/>
      <c r="L32" s="2486" t="s">
        <v>2</v>
      </c>
      <c r="M32" s="2487"/>
      <c r="N32" s="2496"/>
      <c r="O32" s="2480" t="s">
        <v>2</v>
      </c>
      <c r="P32" s="2481"/>
      <c r="Q32" s="2482"/>
    </row>
    <row r="33" spans="3:17" ht="18" thickBot="1" x14ac:dyDescent="0.3">
      <c r="C33" s="14" t="s">
        <v>3</v>
      </c>
      <c r="D33" s="65" t="s">
        <v>4</v>
      </c>
      <c r="E33" s="52" t="s">
        <v>103</v>
      </c>
      <c r="F33" s="14" t="s">
        <v>3</v>
      </c>
      <c r="G33" s="65" t="s">
        <v>4</v>
      </c>
      <c r="H33" s="52" t="s">
        <v>68</v>
      </c>
      <c r="I33" s="53" t="s">
        <v>13</v>
      </c>
      <c r="J33" s="79" t="s">
        <v>14</v>
      </c>
      <c r="K33" s="53" t="s">
        <v>15</v>
      </c>
      <c r="L33" s="14" t="s">
        <v>13</v>
      </c>
      <c r="M33" s="80" t="s">
        <v>14</v>
      </c>
      <c r="N33" s="52" t="s">
        <v>15</v>
      </c>
      <c r="O33" s="13" t="s">
        <v>13</v>
      </c>
      <c r="P33" s="79" t="s">
        <v>14</v>
      </c>
      <c r="Q33" s="54" t="s">
        <v>15</v>
      </c>
    </row>
    <row r="34" spans="3:17" ht="15.75" thickTop="1" x14ac:dyDescent="0.25">
      <c r="C34" s="968">
        <v>50</v>
      </c>
      <c r="D34" s="964" t="s">
        <v>100</v>
      </c>
      <c r="E34" s="965">
        <f>C34/1000</f>
        <v>0.05</v>
      </c>
      <c r="F34" s="968">
        <v>621</v>
      </c>
      <c r="G34" s="964" t="s">
        <v>49</v>
      </c>
      <c r="H34" s="967">
        <f>F34/100000</f>
        <v>6.2100000000000002E-3</v>
      </c>
      <c r="I34" s="1120">
        <f>K34/3600</f>
        <v>3.4499999999999998E-5</v>
      </c>
      <c r="J34" s="1121">
        <f>K34/60</f>
        <v>2.0700000000000002E-3</v>
      </c>
      <c r="K34" s="1122">
        <f>H34/E34</f>
        <v>0.1242</v>
      </c>
      <c r="L34" s="1123">
        <v>3.4499999999999998E-5</v>
      </c>
      <c r="M34" s="1121">
        <v>2.0699999999999998E-3</v>
      </c>
      <c r="N34" s="1124">
        <v>0.1242</v>
      </c>
      <c r="O34" s="1125">
        <f xml:space="preserve"> (I34-L34)/I34</f>
        <v>0</v>
      </c>
      <c r="P34" s="995">
        <f xml:space="preserve"> (J34-M34)/J34</f>
        <v>2.0950766618077378E-16</v>
      </c>
      <c r="Q34" s="996">
        <f xml:space="preserve"> (K34-N34)/K34</f>
        <v>0</v>
      </c>
    </row>
    <row r="35" spans="3:17" ht="17.25" x14ac:dyDescent="0.25">
      <c r="C35" s="1059">
        <v>350</v>
      </c>
      <c r="D35" s="59" t="s">
        <v>101</v>
      </c>
      <c r="E35" s="32">
        <f>C35/3600</f>
        <v>9.7222222222222224E-2</v>
      </c>
      <c r="F35" s="1059">
        <v>50</v>
      </c>
      <c r="G35" s="59" t="s">
        <v>49</v>
      </c>
      <c r="H35" s="889">
        <f>F35/100000</f>
        <v>5.0000000000000001E-4</v>
      </c>
      <c r="I35" s="1126">
        <f t="shared" ref="I35:I57" si="11">K35/3600</f>
        <v>1.4285714285714284E-6</v>
      </c>
      <c r="J35" s="1127">
        <f t="shared" ref="J35:J57" si="12">K35/60</f>
        <v>8.5714285714285713E-5</v>
      </c>
      <c r="K35" s="1128">
        <f t="shared" ref="K35:K57" si="13">H35/E35</f>
        <v>5.1428571428571426E-3</v>
      </c>
      <c r="L35" s="1129">
        <v>1.4285714285714299E-6</v>
      </c>
      <c r="M35" s="1127">
        <v>8.5714285714285699E-5</v>
      </c>
      <c r="N35" s="1130">
        <v>5.14286E-3</v>
      </c>
      <c r="O35" s="897">
        <f t="shared" ref="O35:O57" si="14" xml:space="preserve"> (I35-L35)/I35</f>
        <v>-1.0376153603865181E-15</v>
      </c>
      <c r="P35" s="898">
        <f t="shared" ref="P35:P57" si="15" xml:space="preserve"> (J35-M35)/J35</f>
        <v>1.5811281682080272E-16</v>
      </c>
      <c r="Q35" s="899">
        <f t="shared" ref="Q35:Q57" si="16" xml:space="preserve"> (K35-N35)/K35</f>
        <v>-5.5555555560044297E-7</v>
      </c>
    </row>
    <row r="36" spans="3:17" ht="17.25" x14ac:dyDescent="0.25">
      <c r="C36" s="1059">
        <v>15300</v>
      </c>
      <c r="D36" s="59" t="s">
        <v>102</v>
      </c>
      <c r="E36" s="32">
        <f>C36/60</f>
        <v>255</v>
      </c>
      <c r="F36" s="1059">
        <v>1258</v>
      </c>
      <c r="G36" s="59" t="s">
        <v>49</v>
      </c>
      <c r="H36" s="889">
        <f>F36/100000</f>
        <v>1.2579999999999999E-2</v>
      </c>
      <c r="I36" s="1126">
        <f t="shared" si="11"/>
        <v>1.3703703703703703E-8</v>
      </c>
      <c r="J36" s="1127">
        <f t="shared" si="12"/>
        <v>8.2222222222222214E-7</v>
      </c>
      <c r="K36" s="1128">
        <f t="shared" si="13"/>
        <v>4.9333333333333331E-5</v>
      </c>
      <c r="L36" s="1129">
        <v>1.3703703703703699E-8</v>
      </c>
      <c r="M36" s="1127">
        <v>8.2222222222222203E-7</v>
      </c>
      <c r="N36" s="1130">
        <v>4.9333333333333297E-5</v>
      </c>
      <c r="O36" s="897">
        <f t="shared" si="14"/>
        <v>2.4144731393439727E-16</v>
      </c>
      <c r="P36" s="898">
        <f t="shared" si="15"/>
        <v>1.2877190076501189E-16</v>
      </c>
      <c r="Q36" s="899">
        <f t="shared" si="16"/>
        <v>6.8678347074673007E-16</v>
      </c>
    </row>
    <row r="37" spans="3:17" ht="18" thickBot="1" x14ac:dyDescent="0.3">
      <c r="C37" s="1131">
        <v>802</v>
      </c>
      <c r="D37" s="1132" t="s">
        <v>103</v>
      </c>
      <c r="E37" s="1133">
        <f>C37</f>
        <v>802</v>
      </c>
      <c r="F37" s="1131">
        <v>650</v>
      </c>
      <c r="G37" s="1132" t="s">
        <v>49</v>
      </c>
      <c r="H37" s="1134">
        <f>F37/100000</f>
        <v>6.4999999999999997E-3</v>
      </c>
      <c r="I37" s="1135">
        <f t="shared" si="11"/>
        <v>2.2513161540592963E-9</v>
      </c>
      <c r="J37" s="1136">
        <f t="shared" si="12"/>
        <v>1.3507896924355777E-7</v>
      </c>
      <c r="K37" s="1137">
        <f t="shared" si="13"/>
        <v>8.1047381546134668E-6</v>
      </c>
      <c r="L37" s="1138">
        <v>2.2513161540593E-9</v>
      </c>
      <c r="M37" s="1136">
        <v>1.3507896924355801E-7</v>
      </c>
      <c r="N37" s="1139">
        <v>8.1047381546134702E-6</v>
      </c>
      <c r="O37" s="1030">
        <f t="shared" si="14"/>
        <v>-1.6533940600821471E-15</v>
      </c>
      <c r="P37" s="1009">
        <f t="shared" si="15"/>
        <v>-1.7636203307542904E-15</v>
      </c>
      <c r="Q37" s="1010">
        <f t="shared" si="16"/>
        <v>-4.180433376602762E-16</v>
      </c>
    </row>
    <row r="38" spans="3:17" ht="15.75" thickTop="1" x14ac:dyDescent="0.25">
      <c r="C38" s="1485">
        <v>860</v>
      </c>
      <c r="D38" s="1486" t="s">
        <v>100</v>
      </c>
      <c r="E38" s="1487">
        <f>C38/1000</f>
        <v>0.86</v>
      </c>
      <c r="F38" s="1485">
        <v>1200</v>
      </c>
      <c r="G38" s="1486" t="s">
        <v>50</v>
      </c>
      <c r="H38" s="1488">
        <f>F38/10000</f>
        <v>0.12</v>
      </c>
      <c r="I38" s="1516">
        <f t="shared" si="11"/>
        <v>3.8759689922480622E-5</v>
      </c>
      <c r="J38" s="1517">
        <f t="shared" si="12"/>
        <v>2.3255813953488372E-3</v>
      </c>
      <c r="K38" s="1518">
        <f t="shared" si="13"/>
        <v>0.13953488372093023</v>
      </c>
      <c r="L38" s="1504">
        <v>3.8759689922480602E-5</v>
      </c>
      <c r="M38" s="1505">
        <v>2.3255799999999998E-3</v>
      </c>
      <c r="N38" s="1506">
        <v>0.13953499999999999</v>
      </c>
      <c r="O38" s="1319">
        <f t="shared" si="14"/>
        <v>5.2448280093986277E-16</v>
      </c>
      <c r="P38" s="1320">
        <f t="shared" si="15"/>
        <v>6.0000000005715204E-7</v>
      </c>
      <c r="Q38" s="1321">
        <f t="shared" si="16"/>
        <v>-8.3333333329253334E-7</v>
      </c>
    </row>
    <row r="39" spans="3:17" ht="17.25" x14ac:dyDescent="0.25">
      <c r="C39" s="1435">
        <v>940</v>
      </c>
      <c r="D39" s="1269" t="s">
        <v>101</v>
      </c>
      <c r="E39" s="1254">
        <f>C39/3600</f>
        <v>0.26111111111111113</v>
      </c>
      <c r="F39" s="1435">
        <v>540</v>
      </c>
      <c r="G39" s="1269" t="s">
        <v>50</v>
      </c>
      <c r="H39" s="1270">
        <f>F39/10000</f>
        <v>5.3999999999999999E-2</v>
      </c>
      <c r="I39" s="1519">
        <f t="shared" si="11"/>
        <v>5.7446808510638294E-5</v>
      </c>
      <c r="J39" s="1511">
        <f t="shared" si="12"/>
        <v>3.4468085106382977E-3</v>
      </c>
      <c r="K39" s="1520">
        <f t="shared" si="13"/>
        <v>0.20680851063829786</v>
      </c>
      <c r="L39" s="1510">
        <v>5.74468085106383E-5</v>
      </c>
      <c r="M39" s="1511">
        <v>3.4468099999999998E-3</v>
      </c>
      <c r="N39" s="1512">
        <v>0.20680899999999999</v>
      </c>
      <c r="O39" s="1277">
        <f t="shared" si="14"/>
        <v>-1.1795718080282109E-16</v>
      </c>
      <c r="P39" s="1278">
        <f t="shared" si="15"/>
        <v>-4.3209876542685561E-7</v>
      </c>
      <c r="Q39" s="1279">
        <f t="shared" si="16"/>
        <v>-2.3662551440581323E-6</v>
      </c>
    </row>
    <row r="40" spans="3:17" ht="17.25" x14ac:dyDescent="0.25">
      <c r="C40" s="1435">
        <v>580</v>
      </c>
      <c r="D40" s="1269" t="s">
        <v>102</v>
      </c>
      <c r="E40" s="1254">
        <f>C40/60</f>
        <v>9.6666666666666661</v>
      </c>
      <c r="F40" s="1435">
        <v>630</v>
      </c>
      <c r="G40" s="1269" t="s">
        <v>50</v>
      </c>
      <c r="H40" s="1270">
        <f>F40/10000</f>
        <v>6.3E-2</v>
      </c>
      <c r="I40" s="1519">
        <f t="shared" si="11"/>
        <v>1.8103448275862071E-6</v>
      </c>
      <c r="J40" s="1511">
        <f t="shared" si="12"/>
        <v>1.0862068965517242E-4</v>
      </c>
      <c r="K40" s="1520">
        <f t="shared" si="13"/>
        <v>6.5172413793103453E-3</v>
      </c>
      <c r="L40" s="1510">
        <v>1.81034482758621E-6</v>
      </c>
      <c r="M40" s="1511">
        <v>1.08621E-4</v>
      </c>
      <c r="N40" s="1512">
        <v>6.5172399999999997E-3</v>
      </c>
      <c r="O40" s="1277">
        <f t="shared" si="14"/>
        <v>-1.6375970313583137E-15</v>
      </c>
      <c r="P40" s="1278">
        <f t="shared" si="15"/>
        <v>-2.8571428571017956E-6</v>
      </c>
      <c r="Q40" s="1279">
        <f t="shared" si="16"/>
        <v>2.1164021176286355E-7</v>
      </c>
    </row>
    <row r="41" spans="3:17" ht="18" thickBot="1" x14ac:dyDescent="0.3">
      <c r="C41" s="1485">
        <v>4589</v>
      </c>
      <c r="D41" s="1486" t="s">
        <v>103</v>
      </c>
      <c r="E41" s="1487">
        <f>C41</f>
        <v>4589</v>
      </c>
      <c r="F41" s="1485">
        <v>62</v>
      </c>
      <c r="G41" s="1486" t="s">
        <v>50</v>
      </c>
      <c r="H41" s="1488">
        <f>F41/10000</f>
        <v>6.1999999999999998E-3</v>
      </c>
      <c r="I41" s="1521">
        <f t="shared" si="11"/>
        <v>3.7529357642672092E-10</v>
      </c>
      <c r="J41" s="1505">
        <f t="shared" si="12"/>
        <v>2.2517614585603255E-8</v>
      </c>
      <c r="K41" s="1299">
        <f t="shared" si="13"/>
        <v>1.3510568751361953E-6</v>
      </c>
      <c r="L41" s="1504">
        <v>3.7529357642672102E-10</v>
      </c>
      <c r="M41" s="1505">
        <v>2.2517614585603298E-8</v>
      </c>
      <c r="N41" s="1506">
        <v>1.3510568751362E-6</v>
      </c>
      <c r="O41" s="1367">
        <f t="shared" si="14"/>
        <v>-2.7551118128268221E-16</v>
      </c>
      <c r="P41" s="1368">
        <f t="shared" si="15"/>
        <v>-1.9102108568932632E-15</v>
      </c>
      <c r="Q41" s="1369">
        <f t="shared" si="16"/>
        <v>-3.4481754955201472E-15</v>
      </c>
    </row>
    <row r="42" spans="3:17" ht="15.75" thickTop="1" x14ac:dyDescent="0.25">
      <c r="C42" s="308">
        <v>1245</v>
      </c>
      <c r="D42" s="74" t="s">
        <v>100</v>
      </c>
      <c r="E42" s="23">
        <f>C42/1000</f>
        <v>1.2450000000000001</v>
      </c>
      <c r="F42" s="308">
        <v>52</v>
      </c>
      <c r="G42" s="74" t="s">
        <v>51</v>
      </c>
      <c r="H42" s="24">
        <f>F42/10</f>
        <v>5.2</v>
      </c>
      <c r="I42" s="763">
        <f t="shared" si="11"/>
        <v>1.1601963409192324E-3</v>
      </c>
      <c r="J42" s="764">
        <f t="shared" si="12"/>
        <v>6.961178045515394E-2</v>
      </c>
      <c r="K42" s="1630">
        <f t="shared" si="13"/>
        <v>4.1767068273092365</v>
      </c>
      <c r="L42" s="781">
        <v>1.1601999999999999E-3</v>
      </c>
      <c r="M42" s="782">
        <v>6.9611800000000001E-2</v>
      </c>
      <c r="N42" s="783">
        <v>4.1767099999999999</v>
      </c>
      <c r="O42" s="200">
        <f t="shared" si="14"/>
        <v>-3.1538461538754626E-6</v>
      </c>
      <c r="P42" s="201">
        <f t="shared" si="15"/>
        <v>-2.8076923091528173E-7</v>
      </c>
      <c r="Q42" s="202">
        <f t="shared" si="16"/>
        <v>-7.5961538470875197E-7</v>
      </c>
    </row>
    <row r="43" spans="3:17" ht="17.25" x14ac:dyDescent="0.25">
      <c r="C43" s="310">
        <v>320</v>
      </c>
      <c r="D43" s="62" t="s">
        <v>101</v>
      </c>
      <c r="E43" s="34">
        <f>C43/3600</f>
        <v>8.8888888888888892E-2</v>
      </c>
      <c r="F43" s="310">
        <v>798</v>
      </c>
      <c r="G43" s="62" t="s">
        <v>51</v>
      </c>
      <c r="H43" s="35">
        <f>F43/10</f>
        <v>79.8</v>
      </c>
      <c r="I43" s="765">
        <f t="shared" si="11"/>
        <v>0.24937499999999996</v>
      </c>
      <c r="J43" s="766">
        <f t="shared" si="12"/>
        <v>14.962499999999999</v>
      </c>
      <c r="K43" s="1631">
        <f t="shared" si="13"/>
        <v>897.74999999999989</v>
      </c>
      <c r="L43" s="784">
        <v>0.24937500000000001</v>
      </c>
      <c r="M43" s="766">
        <v>14.9625</v>
      </c>
      <c r="N43" s="785">
        <v>897.75</v>
      </c>
      <c r="O43" s="155">
        <f t="shared" si="14"/>
        <v>-2.2260110769426701E-16</v>
      </c>
      <c r="P43" s="156">
        <f t="shared" si="15"/>
        <v>-1.1872059077027574E-16</v>
      </c>
      <c r="Q43" s="157">
        <f t="shared" si="16"/>
        <v>-1.2663529682162745E-16</v>
      </c>
    </row>
    <row r="44" spans="3:17" ht="17.25" x14ac:dyDescent="0.25">
      <c r="C44" s="310">
        <v>56</v>
      </c>
      <c r="D44" s="62" t="s">
        <v>102</v>
      </c>
      <c r="E44" s="34">
        <f>C44/60</f>
        <v>0.93333333333333335</v>
      </c>
      <c r="F44" s="310">
        <v>940</v>
      </c>
      <c r="G44" s="62" t="s">
        <v>51</v>
      </c>
      <c r="H44" s="35">
        <f>F44/10</f>
        <v>94</v>
      </c>
      <c r="I44" s="765">
        <f t="shared" si="11"/>
        <v>2.7976190476190474E-2</v>
      </c>
      <c r="J44" s="766">
        <f t="shared" si="12"/>
        <v>1.6785714285714284</v>
      </c>
      <c r="K44" s="1632">
        <f t="shared" si="13"/>
        <v>100.71428571428571</v>
      </c>
      <c r="L44" s="784">
        <v>2.79762E-2</v>
      </c>
      <c r="M44" s="766">
        <v>1.6785699999999999</v>
      </c>
      <c r="N44" s="785">
        <v>100.714</v>
      </c>
      <c r="O44" s="155">
        <f t="shared" si="14"/>
        <v>-3.4042553198373721E-7</v>
      </c>
      <c r="P44" s="156">
        <f t="shared" si="15"/>
        <v>8.5106382973611744E-7</v>
      </c>
      <c r="Q44" s="157">
        <f t="shared" si="16"/>
        <v>2.8368794325771876E-6</v>
      </c>
    </row>
    <row r="45" spans="3:17" ht="18" thickBot="1" x14ac:dyDescent="0.3">
      <c r="C45" s="322">
        <v>9</v>
      </c>
      <c r="D45" s="73" t="s">
        <v>103</v>
      </c>
      <c r="E45" s="21">
        <f>C45</f>
        <v>9</v>
      </c>
      <c r="F45" s="322">
        <v>820</v>
      </c>
      <c r="G45" s="73" t="s">
        <v>51</v>
      </c>
      <c r="H45" s="22">
        <f>F45/10</f>
        <v>82</v>
      </c>
      <c r="I45" s="767">
        <f t="shared" si="11"/>
        <v>2.5308641975308639E-3</v>
      </c>
      <c r="J45" s="768">
        <f t="shared" si="12"/>
        <v>0.15185185185185185</v>
      </c>
      <c r="K45" s="1633">
        <f t="shared" si="13"/>
        <v>9.1111111111111107</v>
      </c>
      <c r="L45" s="786">
        <v>2.5308599999999998E-3</v>
      </c>
      <c r="M45" s="768">
        <v>0.15185199999999999</v>
      </c>
      <c r="N45" s="787">
        <v>9.11111</v>
      </c>
      <c r="O45" s="196">
        <f t="shared" si="14"/>
        <v>1.6585365853369645E-6</v>
      </c>
      <c r="P45" s="197">
        <f t="shared" si="15"/>
        <v>-9.756097560308401E-7</v>
      </c>
      <c r="Q45" s="198">
        <f t="shared" si="16"/>
        <v>1.2195121946425254E-7</v>
      </c>
    </row>
    <row r="46" spans="3:17" ht="15.75" thickTop="1" x14ac:dyDescent="0.25">
      <c r="C46" s="406">
        <v>569</v>
      </c>
      <c r="D46" s="407" t="s">
        <v>100</v>
      </c>
      <c r="E46" s="408">
        <f>C46/1000</f>
        <v>0.56899999999999995</v>
      </c>
      <c r="F46" s="406">
        <v>1299</v>
      </c>
      <c r="G46" s="407" t="s">
        <v>52</v>
      </c>
      <c r="H46" s="409">
        <f>F46/1000</f>
        <v>1.2989999999999999</v>
      </c>
      <c r="I46" s="769">
        <f t="shared" si="11"/>
        <v>6.3415348564733456E-4</v>
      </c>
      <c r="J46" s="770">
        <f t="shared" si="12"/>
        <v>3.8049209138840072E-2</v>
      </c>
      <c r="K46" s="846">
        <f t="shared" si="13"/>
        <v>2.2829525483304045</v>
      </c>
      <c r="L46" s="788">
        <v>6.3415300000000004E-4</v>
      </c>
      <c r="M46" s="774">
        <v>3.8049199999999998E-2</v>
      </c>
      <c r="N46" s="789">
        <v>2.28295</v>
      </c>
      <c r="O46" s="460">
        <f t="shared" si="14"/>
        <v>7.65819861458151E-7</v>
      </c>
      <c r="P46" s="524">
        <f t="shared" si="15"/>
        <v>2.4018475759216515E-7</v>
      </c>
      <c r="Q46" s="550">
        <f t="shared" si="16"/>
        <v>1.1162432641608516E-6</v>
      </c>
    </row>
    <row r="47" spans="3:17" ht="17.25" x14ac:dyDescent="0.25">
      <c r="C47" s="412">
        <v>630</v>
      </c>
      <c r="D47" s="214" t="s">
        <v>101</v>
      </c>
      <c r="E47" s="215">
        <f>C47/3600</f>
        <v>0.17499999999999999</v>
      </c>
      <c r="F47" s="412">
        <v>320</v>
      </c>
      <c r="G47" s="214" t="s">
        <v>52</v>
      </c>
      <c r="H47" s="216">
        <f>F47/1000</f>
        <v>0.32</v>
      </c>
      <c r="I47" s="771">
        <f t="shared" si="11"/>
        <v>5.0793650793650802E-4</v>
      </c>
      <c r="J47" s="772">
        <f t="shared" si="12"/>
        <v>3.047619047619048E-2</v>
      </c>
      <c r="K47" s="847">
        <f t="shared" si="13"/>
        <v>1.8285714285714287</v>
      </c>
      <c r="L47" s="790">
        <v>5.0793699999999997E-4</v>
      </c>
      <c r="M47" s="772">
        <v>3.0476199999999998E-2</v>
      </c>
      <c r="N47" s="791">
        <v>1.82857</v>
      </c>
      <c r="O47" s="221">
        <f t="shared" si="14"/>
        <v>-9.6874999977469563E-7</v>
      </c>
      <c r="P47" s="222">
        <f t="shared" si="15"/>
        <v>-3.1249999983551374E-7</v>
      </c>
      <c r="Q47" s="223">
        <f t="shared" si="16"/>
        <v>7.8125000007450696E-7</v>
      </c>
    </row>
    <row r="48" spans="3:17" ht="17.25" x14ac:dyDescent="0.25">
      <c r="C48" s="412">
        <v>870</v>
      </c>
      <c r="D48" s="214" t="s">
        <v>102</v>
      </c>
      <c r="E48" s="215">
        <f>C48/60</f>
        <v>14.5</v>
      </c>
      <c r="F48" s="412">
        <v>460</v>
      </c>
      <c r="G48" s="214" t="s">
        <v>52</v>
      </c>
      <c r="H48" s="216">
        <f>F48/1000</f>
        <v>0.46</v>
      </c>
      <c r="I48" s="771">
        <f t="shared" si="11"/>
        <v>8.8122605363984683E-6</v>
      </c>
      <c r="J48" s="772">
        <f t="shared" si="12"/>
        <v>5.287356321839081E-4</v>
      </c>
      <c r="K48" s="847">
        <f t="shared" si="13"/>
        <v>3.1724137931034485E-2</v>
      </c>
      <c r="L48" s="790">
        <v>8.81226053639847E-6</v>
      </c>
      <c r="M48" s="772">
        <v>5.2873600000000003E-4</v>
      </c>
      <c r="N48" s="791">
        <v>3.1724099999999998E-2</v>
      </c>
      <c r="O48" s="221">
        <f t="shared" si="14"/>
        <v>-1.9223965150728031E-16</v>
      </c>
      <c r="P48" s="222">
        <f t="shared" si="15"/>
        <v>-6.9565217386507264E-7</v>
      </c>
      <c r="Q48" s="223">
        <f t="shared" si="16"/>
        <v>1.1956521740454746E-6</v>
      </c>
    </row>
    <row r="49" spans="3:26" ht="18" thickBot="1" x14ac:dyDescent="0.3">
      <c r="C49" s="406">
        <v>950</v>
      </c>
      <c r="D49" s="407" t="s">
        <v>103</v>
      </c>
      <c r="E49" s="408">
        <f>C49</f>
        <v>950</v>
      </c>
      <c r="F49" s="406">
        <v>850</v>
      </c>
      <c r="G49" s="407" t="s">
        <v>52</v>
      </c>
      <c r="H49" s="409">
        <f>F49/1000</f>
        <v>0.85</v>
      </c>
      <c r="I49" s="773">
        <f t="shared" si="11"/>
        <v>2.4853801169590645E-7</v>
      </c>
      <c r="J49" s="774">
        <f t="shared" si="12"/>
        <v>1.4912280701754386E-5</v>
      </c>
      <c r="K49" s="761">
        <f t="shared" si="13"/>
        <v>8.9473684210526316E-4</v>
      </c>
      <c r="L49" s="788">
        <v>2.4853801169590598E-7</v>
      </c>
      <c r="M49" s="774">
        <v>1.4912280701754399E-5</v>
      </c>
      <c r="N49" s="789">
        <v>8.9473700000000005E-4</v>
      </c>
      <c r="O49" s="757">
        <f t="shared" si="14"/>
        <v>1.9170348615064236E-15</v>
      </c>
      <c r="P49" s="749">
        <f t="shared" si="15"/>
        <v>-9.0881652693637868E-16</v>
      </c>
      <c r="Q49" s="758">
        <f t="shared" si="16"/>
        <v>-1.7647058828909397E-7</v>
      </c>
    </row>
    <row r="50" spans="3:26" ht="18" thickTop="1" x14ac:dyDescent="0.25">
      <c r="C50" s="1731">
        <v>1258</v>
      </c>
      <c r="D50" s="1732" t="s">
        <v>100</v>
      </c>
      <c r="E50" s="1733">
        <f>C50/1000</f>
        <v>1.258</v>
      </c>
      <c r="F50" s="1731">
        <v>610</v>
      </c>
      <c r="G50" s="1732" t="s">
        <v>53</v>
      </c>
      <c r="H50" s="1734">
        <f>F50</f>
        <v>610</v>
      </c>
      <c r="I50" s="775">
        <f t="shared" si="11"/>
        <v>0.13469351704645821</v>
      </c>
      <c r="J50" s="776">
        <f t="shared" si="12"/>
        <v>8.0816110227874933</v>
      </c>
      <c r="K50" s="1735">
        <f t="shared" si="13"/>
        <v>484.89666136724958</v>
      </c>
      <c r="L50" s="1736">
        <v>0.13469400000000001</v>
      </c>
      <c r="M50" s="1737">
        <v>8.0816099999999995</v>
      </c>
      <c r="N50" s="1738">
        <v>484.89699999999999</v>
      </c>
      <c r="O50" s="125">
        <f t="shared" si="14"/>
        <v>-3.585573770641029E-6</v>
      </c>
      <c r="P50" s="756">
        <f t="shared" si="15"/>
        <v>1.2655737710286334E-7</v>
      </c>
      <c r="Q50" s="755">
        <f t="shared" si="16"/>
        <v>-6.9836065577002035E-7</v>
      </c>
    </row>
    <row r="51" spans="3:26" ht="17.25" x14ac:dyDescent="0.25">
      <c r="C51" s="1683">
        <v>11254</v>
      </c>
      <c r="D51" s="64" t="s">
        <v>101</v>
      </c>
      <c r="E51" s="1253">
        <f>C51/3600</f>
        <v>3.1261111111111113</v>
      </c>
      <c r="F51" s="1683">
        <v>50</v>
      </c>
      <c r="G51" s="64" t="s">
        <v>53</v>
      </c>
      <c r="H51" s="56">
        <f>F51</f>
        <v>50</v>
      </c>
      <c r="I51" s="777">
        <f t="shared" si="11"/>
        <v>4.4428647591967293E-3</v>
      </c>
      <c r="J51" s="778">
        <f t="shared" si="12"/>
        <v>0.26657188555180378</v>
      </c>
      <c r="K51" s="1739">
        <f t="shared" si="13"/>
        <v>15.994313133108227</v>
      </c>
      <c r="L51" s="1740">
        <v>4.4428599999999999E-3</v>
      </c>
      <c r="M51" s="778">
        <v>0.26657199999999998</v>
      </c>
      <c r="N51" s="1741">
        <v>15.994300000000001</v>
      </c>
      <c r="O51" s="136">
        <f t="shared" si="14"/>
        <v>1.0711999998572894E-6</v>
      </c>
      <c r="P51" s="139">
        <f t="shared" si="15"/>
        <v>-4.2933333333698238E-7</v>
      </c>
      <c r="Q51" s="137">
        <f t="shared" si="16"/>
        <v>8.2111111096294414E-7</v>
      </c>
    </row>
    <row r="52" spans="3:26" ht="17.25" x14ac:dyDescent="0.25">
      <c r="C52" s="1683">
        <v>3569</v>
      </c>
      <c r="D52" s="64" t="s">
        <v>102</v>
      </c>
      <c r="E52" s="1253">
        <f>C52/60</f>
        <v>59.483333333333334</v>
      </c>
      <c r="F52" s="1683">
        <v>92</v>
      </c>
      <c r="G52" s="64" t="s">
        <v>68</v>
      </c>
      <c r="H52" s="56">
        <f>F52</f>
        <v>92</v>
      </c>
      <c r="I52" s="777">
        <f t="shared" si="11"/>
        <v>4.2962547865882129E-4</v>
      </c>
      <c r="J52" s="778">
        <f t="shared" si="12"/>
        <v>2.5777528719529277E-2</v>
      </c>
      <c r="K52" s="1742">
        <f t="shared" si="13"/>
        <v>1.5466517231717567</v>
      </c>
      <c r="L52" s="1740">
        <v>4.2962499999999999E-4</v>
      </c>
      <c r="M52" s="778">
        <v>2.5777499999999998E-2</v>
      </c>
      <c r="N52" s="1741">
        <v>1.5466500000000001</v>
      </c>
      <c r="O52" s="136">
        <f t="shared" si="14"/>
        <v>1.1141304346902577E-6</v>
      </c>
      <c r="P52" s="139">
        <f t="shared" si="15"/>
        <v>1.1141304347491417E-6</v>
      </c>
      <c r="Q52" s="137">
        <f t="shared" si="16"/>
        <v>1.1141304346683864E-6</v>
      </c>
    </row>
    <row r="53" spans="3:26" ht="18" thickBot="1" x14ac:dyDescent="0.3">
      <c r="C53" s="1705">
        <v>8650</v>
      </c>
      <c r="D53" s="126" t="s">
        <v>103</v>
      </c>
      <c r="E53" s="1706">
        <f>C53</f>
        <v>8650</v>
      </c>
      <c r="F53" s="1705">
        <v>84</v>
      </c>
      <c r="G53" s="126" t="s">
        <v>68</v>
      </c>
      <c r="H53" s="129">
        <f>F53</f>
        <v>84</v>
      </c>
      <c r="I53" s="779">
        <f t="shared" si="11"/>
        <v>2.6974951830443159E-6</v>
      </c>
      <c r="J53" s="780">
        <f t="shared" si="12"/>
        <v>1.6184971098265897E-4</v>
      </c>
      <c r="K53" s="762">
        <f t="shared" si="13"/>
        <v>9.7109826589595379E-3</v>
      </c>
      <c r="L53" s="1743">
        <v>2.6974951830443202E-6</v>
      </c>
      <c r="M53" s="780">
        <v>1.6185E-4</v>
      </c>
      <c r="N53" s="1744">
        <v>9.7109799999999993E-3</v>
      </c>
      <c r="O53" s="135">
        <f t="shared" si="14"/>
        <v>-1.570036070089221E-15</v>
      </c>
      <c r="P53" s="140">
        <f t="shared" si="15"/>
        <v>-1.7857142857017445E-6</v>
      </c>
      <c r="Q53" s="138">
        <f t="shared" si="16"/>
        <v>2.738095239214808E-7</v>
      </c>
    </row>
    <row r="54" spans="3:26" ht="15.75" thickTop="1" x14ac:dyDescent="0.25">
      <c r="C54" s="1871">
        <v>458</v>
      </c>
      <c r="D54" s="1872" t="s">
        <v>100</v>
      </c>
      <c r="E54" s="1873">
        <f>C54/1000</f>
        <v>0.45800000000000002</v>
      </c>
      <c r="F54" s="1871">
        <v>321</v>
      </c>
      <c r="G54" s="1872" t="s">
        <v>54</v>
      </c>
      <c r="H54" s="1874">
        <f>F54/1000000</f>
        <v>3.21E-4</v>
      </c>
      <c r="I54" s="1875">
        <f t="shared" si="11"/>
        <v>1.9468704512372632E-7</v>
      </c>
      <c r="J54" s="1876">
        <f t="shared" si="12"/>
        <v>1.168122270742358E-5</v>
      </c>
      <c r="K54" s="1877">
        <f t="shared" si="13"/>
        <v>7.008733624454148E-4</v>
      </c>
      <c r="L54" s="1878">
        <v>1.94687045123726E-7</v>
      </c>
      <c r="M54" s="1879">
        <v>1.1681222707423601E-5</v>
      </c>
      <c r="N54" s="1874">
        <v>7.0087299999999997E-4</v>
      </c>
      <c r="O54" s="1807">
        <f t="shared" si="14"/>
        <v>1.6315279479356199E-15</v>
      </c>
      <c r="P54" s="1808">
        <f t="shared" si="15"/>
        <v>-1.7402964777979943E-15</v>
      </c>
      <c r="Q54" s="1809">
        <f t="shared" si="16"/>
        <v>5.1713395635728191E-7</v>
      </c>
    </row>
    <row r="55" spans="3:26" ht="17.25" x14ac:dyDescent="0.25">
      <c r="C55" s="1841">
        <v>71</v>
      </c>
      <c r="D55" s="1797" t="s">
        <v>101</v>
      </c>
      <c r="E55" s="1798">
        <f>C55/3600</f>
        <v>1.9722222222222221E-2</v>
      </c>
      <c r="F55" s="1841">
        <v>560</v>
      </c>
      <c r="G55" s="1797" t="s">
        <v>54</v>
      </c>
      <c r="H55" s="1800">
        <f>F55/1000000</f>
        <v>5.5999999999999995E-4</v>
      </c>
      <c r="I55" s="1880">
        <f t="shared" si="11"/>
        <v>7.8873239436619706E-6</v>
      </c>
      <c r="J55" s="1881">
        <f t="shared" si="12"/>
        <v>4.7323943661971827E-4</v>
      </c>
      <c r="K55" s="1882">
        <f t="shared" si="13"/>
        <v>2.8394366197183097E-2</v>
      </c>
      <c r="L55" s="1883">
        <v>7.8873239436619706E-6</v>
      </c>
      <c r="M55" s="1842">
        <v>4.7323899999999997E-4</v>
      </c>
      <c r="N55" s="1800">
        <v>2.83944E-2</v>
      </c>
      <c r="O55" s="1845">
        <f t="shared" si="14"/>
        <v>0</v>
      </c>
      <c r="P55" s="1847">
        <f t="shared" si="15"/>
        <v>9.2261904759646644E-7</v>
      </c>
      <c r="Q55" s="1848">
        <f t="shared" si="16"/>
        <v>-1.1904761905396797E-6</v>
      </c>
    </row>
    <row r="56" spans="3:26" ht="17.25" x14ac:dyDescent="0.25">
      <c r="C56" s="1841">
        <v>9450</v>
      </c>
      <c r="D56" s="1797" t="s">
        <v>102</v>
      </c>
      <c r="E56" s="1798">
        <f>C56/60</f>
        <v>157.5</v>
      </c>
      <c r="F56" s="1841">
        <v>3420</v>
      </c>
      <c r="G56" s="1797" t="s">
        <v>54</v>
      </c>
      <c r="H56" s="1800">
        <f>F56/1000000</f>
        <v>3.4199999999999999E-3</v>
      </c>
      <c r="I56" s="1880">
        <f t="shared" si="11"/>
        <v>6.0317460317460313E-9</v>
      </c>
      <c r="J56" s="1881">
        <f t="shared" si="12"/>
        <v>3.6190476190476189E-7</v>
      </c>
      <c r="K56" s="1884">
        <f t="shared" si="13"/>
        <v>2.1714285714285712E-5</v>
      </c>
      <c r="L56" s="1883">
        <v>6.0317460317460297E-9</v>
      </c>
      <c r="M56" s="1885">
        <v>3.6190476190476199E-7</v>
      </c>
      <c r="N56" s="1886">
        <v>2.1714285714285699E-5</v>
      </c>
      <c r="O56" s="1845">
        <f t="shared" si="14"/>
        <v>2.7427567679389867E-16</v>
      </c>
      <c r="P56" s="1847">
        <f t="shared" si="15"/>
        <v>-2.9256072191349191E-16</v>
      </c>
      <c r="Q56" s="1848">
        <f t="shared" si="16"/>
        <v>6.2412954008211611E-16</v>
      </c>
    </row>
    <row r="57" spans="3:26" ht="18" thickBot="1" x14ac:dyDescent="0.3">
      <c r="C57" s="1851">
        <v>740</v>
      </c>
      <c r="D57" s="1852" t="s">
        <v>103</v>
      </c>
      <c r="E57" s="1853">
        <f>C57</f>
        <v>740</v>
      </c>
      <c r="F57" s="1851">
        <v>2350</v>
      </c>
      <c r="G57" s="1852" t="s">
        <v>54</v>
      </c>
      <c r="H57" s="1855">
        <f>F57/1000000</f>
        <v>2.3500000000000001E-3</v>
      </c>
      <c r="I57" s="1887">
        <f t="shared" si="11"/>
        <v>8.8213213213213217E-10</v>
      </c>
      <c r="J57" s="1888">
        <f t="shared" si="12"/>
        <v>5.2927927927927931E-8</v>
      </c>
      <c r="K57" s="2100">
        <f t="shared" si="13"/>
        <v>3.175675675675676E-6</v>
      </c>
      <c r="L57" s="1889">
        <v>8.8213213213213197E-10</v>
      </c>
      <c r="M57" s="1890">
        <v>5.2927927927927898E-8</v>
      </c>
      <c r="N57" s="1891">
        <v>3.1756756756756802E-6</v>
      </c>
      <c r="O57" s="1822">
        <f t="shared" si="14"/>
        <v>2.3442650551502824E-16</v>
      </c>
      <c r="P57" s="1823">
        <f t="shared" si="15"/>
        <v>6.251373480400753E-16</v>
      </c>
      <c r="Q57" s="1824">
        <f t="shared" si="16"/>
        <v>-1.333626342485494E-15</v>
      </c>
    </row>
    <row r="58" spans="3:26" ht="15.75" thickTop="1" x14ac:dyDescent="0.25"/>
    <row r="59" spans="3:26" ht="15.75" thickBot="1" x14ac:dyDescent="0.3"/>
    <row r="60" spans="3:26" ht="15.75" thickTop="1" x14ac:dyDescent="0.25">
      <c r="C60" s="2488" t="s">
        <v>0</v>
      </c>
      <c r="D60" s="2489"/>
      <c r="E60" s="2489"/>
      <c r="F60" s="2489"/>
      <c r="G60" s="2489"/>
      <c r="H60" s="2495"/>
      <c r="I60" s="2483" t="s">
        <v>158</v>
      </c>
      <c r="J60" s="2484"/>
      <c r="K60" s="2484"/>
      <c r="L60" s="2484"/>
      <c r="M60" s="2484"/>
      <c r="N60" s="2485"/>
      <c r="O60" s="2489" t="s">
        <v>17</v>
      </c>
      <c r="P60" s="2489"/>
      <c r="Q60" s="2489"/>
      <c r="R60" s="2489"/>
      <c r="S60" s="2489"/>
      <c r="T60" s="2489"/>
      <c r="U60" s="2483" t="s">
        <v>8</v>
      </c>
      <c r="V60" s="2484"/>
      <c r="W60" s="2484"/>
      <c r="X60" s="2484"/>
      <c r="Y60" s="2484"/>
      <c r="Z60" s="2485"/>
    </row>
    <row r="61" spans="3:26" ht="15.75" thickBot="1" x14ac:dyDescent="0.3">
      <c r="C61" s="2486" t="s">
        <v>2</v>
      </c>
      <c r="D61" s="2487"/>
      <c r="E61" s="2487"/>
      <c r="F61" s="2486" t="s">
        <v>145</v>
      </c>
      <c r="G61" s="2487"/>
      <c r="H61" s="2496"/>
      <c r="I61" s="2480" t="s">
        <v>71</v>
      </c>
      <c r="J61" s="2481"/>
      <c r="K61" s="2481"/>
      <c r="L61" s="2481"/>
      <c r="M61" s="2481"/>
      <c r="N61" s="2482"/>
      <c r="O61" s="2486" t="s">
        <v>71</v>
      </c>
      <c r="P61" s="2487"/>
      <c r="Q61" s="2487"/>
      <c r="R61" s="2487"/>
      <c r="S61" s="2487"/>
      <c r="T61" s="2496"/>
      <c r="U61" s="2480" t="s">
        <v>71</v>
      </c>
      <c r="V61" s="2481"/>
      <c r="W61" s="2481"/>
      <c r="X61" s="2481"/>
      <c r="Y61" s="2481"/>
      <c r="Z61" s="2482"/>
    </row>
    <row r="62" spans="3:26" ht="18" thickBot="1" x14ac:dyDescent="0.3">
      <c r="C62" s="57" t="s">
        <v>3</v>
      </c>
      <c r="D62" s="65" t="s">
        <v>4</v>
      </c>
      <c r="E62" s="50" t="s">
        <v>15</v>
      </c>
      <c r="F62" s="14" t="s">
        <v>3</v>
      </c>
      <c r="G62" s="65" t="s">
        <v>4</v>
      </c>
      <c r="H62" s="65" t="s">
        <v>103</v>
      </c>
      <c r="I62" s="13" t="s">
        <v>49</v>
      </c>
      <c r="J62" s="79" t="s">
        <v>50</v>
      </c>
      <c r="K62" s="79" t="s">
        <v>51</v>
      </c>
      <c r="L62" s="79" t="s">
        <v>52</v>
      </c>
      <c r="M62" s="79" t="s">
        <v>68</v>
      </c>
      <c r="N62" s="54" t="s">
        <v>54</v>
      </c>
      <c r="O62" s="50" t="s">
        <v>49</v>
      </c>
      <c r="P62" s="80" t="s">
        <v>50</v>
      </c>
      <c r="Q62" s="80" t="s">
        <v>51</v>
      </c>
      <c r="R62" s="80" t="s">
        <v>52</v>
      </c>
      <c r="S62" s="80" t="s">
        <v>68</v>
      </c>
      <c r="T62" s="50" t="s">
        <v>54</v>
      </c>
      <c r="U62" s="13" t="s">
        <v>49</v>
      </c>
      <c r="V62" s="79" t="s">
        <v>50</v>
      </c>
      <c r="W62" s="79" t="s">
        <v>51</v>
      </c>
      <c r="X62" s="79" t="s">
        <v>52</v>
      </c>
      <c r="Y62" s="79" t="s">
        <v>68</v>
      </c>
      <c r="Z62" s="54" t="s">
        <v>54</v>
      </c>
    </row>
    <row r="63" spans="3:26" ht="15.75" thickTop="1" x14ac:dyDescent="0.25">
      <c r="C63" s="1108">
        <v>24</v>
      </c>
      <c r="D63" s="964" t="s">
        <v>13</v>
      </c>
      <c r="E63" s="965">
        <f>C63*3600</f>
        <v>86400</v>
      </c>
      <c r="F63" s="1108">
        <v>26</v>
      </c>
      <c r="G63" s="964" t="s">
        <v>100</v>
      </c>
      <c r="H63" s="967">
        <f>F63/1000</f>
        <v>2.5999999999999999E-2</v>
      </c>
      <c r="I63" s="968">
        <f>M63*100000</f>
        <v>224640000</v>
      </c>
      <c r="J63" s="1085">
        <f>M63*10000</f>
        <v>22464000</v>
      </c>
      <c r="K63" s="1085">
        <f>M63*10</f>
        <v>22464</v>
      </c>
      <c r="L63" s="1085">
        <f>M63*1000</f>
        <v>2246400</v>
      </c>
      <c r="M63" s="1085">
        <f>H63*E63</f>
        <v>2246.4</v>
      </c>
      <c r="N63" s="967">
        <f>M63*1000000</f>
        <v>2246400000</v>
      </c>
      <c r="O63" s="965">
        <v>224640000</v>
      </c>
      <c r="P63" s="1085">
        <v>22464000</v>
      </c>
      <c r="Q63" s="1085">
        <v>22464</v>
      </c>
      <c r="R63" s="1085">
        <v>2246400</v>
      </c>
      <c r="S63" s="1085">
        <v>2246.4</v>
      </c>
      <c r="T63" s="965">
        <v>2246400000</v>
      </c>
      <c r="U63" s="885">
        <f t="shared" ref="U63:Z63" si="17" xml:space="preserve"> (I63-O63)/I63</f>
        <v>0</v>
      </c>
      <c r="V63" s="886">
        <f t="shared" si="17"/>
        <v>0</v>
      </c>
      <c r="W63" s="886">
        <f t="shared" si="17"/>
        <v>0</v>
      </c>
      <c r="X63" s="886">
        <f t="shared" si="17"/>
        <v>0</v>
      </c>
      <c r="Y63" s="886">
        <f t="shared" si="17"/>
        <v>0</v>
      </c>
      <c r="Z63" s="887">
        <f t="shared" si="17"/>
        <v>0</v>
      </c>
    </row>
    <row r="64" spans="3:26" x14ac:dyDescent="0.25">
      <c r="C64" s="71">
        <v>5462</v>
      </c>
      <c r="D64" s="59" t="s">
        <v>14</v>
      </c>
      <c r="E64" s="32">
        <f>C64*60</f>
        <v>327720</v>
      </c>
      <c r="F64" s="71">
        <v>56</v>
      </c>
      <c r="G64" s="59" t="s">
        <v>100</v>
      </c>
      <c r="H64" s="889">
        <f>F64/1000</f>
        <v>5.6000000000000001E-2</v>
      </c>
      <c r="I64" s="1059">
        <f t="shared" ref="I64:I74" si="18">M64*100000</f>
        <v>1835232000</v>
      </c>
      <c r="J64" s="1060">
        <f t="shared" ref="J64:J74" si="19">M64*10000</f>
        <v>183523200</v>
      </c>
      <c r="K64" s="1060">
        <f t="shared" ref="K64:K74" si="20">M64*10</f>
        <v>183523.20000000001</v>
      </c>
      <c r="L64" s="1060">
        <f t="shared" ref="L64:L74" si="21">M64*1000</f>
        <v>18352320</v>
      </c>
      <c r="M64" s="1060">
        <f t="shared" ref="M64:M74" si="22">H64*E64</f>
        <v>18352.32</v>
      </c>
      <c r="N64" s="889">
        <f t="shared" ref="N64:N74" si="23">M64*1000000</f>
        <v>18352320000</v>
      </c>
      <c r="O64" s="32">
        <v>1835232000</v>
      </c>
      <c r="P64" s="1060">
        <v>183523200</v>
      </c>
      <c r="Q64" s="1060">
        <v>183523</v>
      </c>
      <c r="R64" s="1060">
        <v>18352320</v>
      </c>
      <c r="S64" s="1060">
        <v>18352.3</v>
      </c>
      <c r="T64" s="32">
        <v>18352320000</v>
      </c>
      <c r="U64" s="897">
        <f t="shared" ref="U64:U74" si="24" xml:space="preserve"> (I64-O64)/I64</f>
        <v>0</v>
      </c>
      <c r="V64" s="898">
        <f t="shared" ref="V64:V74" si="25" xml:space="preserve"> (J64-P64)/J64</f>
        <v>0</v>
      </c>
      <c r="W64" s="898">
        <f t="shared" ref="W64:W74" si="26" xml:space="preserve"> (K64-Q64)/K64</f>
        <v>1.0897804746846258E-6</v>
      </c>
      <c r="X64" s="898">
        <f t="shared" ref="X64:X74" si="27" xml:space="preserve"> (L64-R64)/L64</f>
        <v>0</v>
      </c>
      <c r="Y64" s="898">
        <f t="shared" ref="Y64:Y74" si="28" xml:space="preserve"> (M64-S64)/M64</f>
        <v>1.0897804746449798E-6</v>
      </c>
      <c r="Z64" s="899">
        <f t="shared" ref="Z64:Z74" si="29" xml:space="preserve"> (N64-T64)/N64</f>
        <v>0</v>
      </c>
    </row>
    <row r="65" spans="3:26" ht="15.75" thickBot="1" x14ac:dyDescent="0.3">
      <c r="C65" s="105">
        <v>36542</v>
      </c>
      <c r="D65" s="60" t="s">
        <v>15</v>
      </c>
      <c r="E65" s="55">
        <f>C65</f>
        <v>36542</v>
      </c>
      <c r="F65" s="105">
        <v>165</v>
      </c>
      <c r="G65" s="60" t="s">
        <v>100</v>
      </c>
      <c r="H65" s="905">
        <f>F65/1000</f>
        <v>0.16500000000000001</v>
      </c>
      <c r="I65" s="1072">
        <f t="shared" si="18"/>
        <v>602943000</v>
      </c>
      <c r="J65" s="1073">
        <f t="shared" si="19"/>
        <v>60294300</v>
      </c>
      <c r="K65" s="1073">
        <f t="shared" si="20"/>
        <v>60294.3</v>
      </c>
      <c r="L65" s="1073">
        <f t="shared" si="21"/>
        <v>6029430</v>
      </c>
      <c r="M65" s="1073">
        <f t="shared" si="22"/>
        <v>6029.43</v>
      </c>
      <c r="N65" s="905">
        <f t="shared" si="23"/>
        <v>6029430000</v>
      </c>
      <c r="O65" s="55">
        <v>602943000</v>
      </c>
      <c r="P65" s="1073">
        <v>60294300</v>
      </c>
      <c r="Q65" s="1073">
        <v>60294.3</v>
      </c>
      <c r="R65" s="1073">
        <v>6029430</v>
      </c>
      <c r="S65" s="1073">
        <v>6029.43</v>
      </c>
      <c r="T65" s="55">
        <v>6029430000</v>
      </c>
      <c r="U65" s="1030">
        <f t="shared" si="24"/>
        <v>0</v>
      </c>
      <c r="V65" s="1009">
        <f t="shared" si="25"/>
        <v>0</v>
      </c>
      <c r="W65" s="1009">
        <f t="shared" si="26"/>
        <v>0</v>
      </c>
      <c r="X65" s="1009">
        <f t="shared" si="27"/>
        <v>0</v>
      </c>
      <c r="Y65" s="1009">
        <f t="shared" si="28"/>
        <v>0</v>
      </c>
      <c r="Z65" s="1010">
        <f t="shared" si="29"/>
        <v>0</v>
      </c>
    </row>
    <row r="66" spans="3:26" ht="18" thickTop="1" x14ac:dyDescent="0.25">
      <c r="C66" s="1255">
        <v>37</v>
      </c>
      <c r="D66" s="1256" t="s">
        <v>13</v>
      </c>
      <c r="E66" s="1257">
        <f>C66*3600</f>
        <v>133200</v>
      </c>
      <c r="F66" s="1255">
        <v>466</v>
      </c>
      <c r="G66" s="1256" t="s">
        <v>101</v>
      </c>
      <c r="H66" s="1258">
        <f>F66/3600</f>
        <v>0.12944444444444445</v>
      </c>
      <c r="I66" s="1455">
        <f t="shared" si="18"/>
        <v>1724200000</v>
      </c>
      <c r="J66" s="1456">
        <f t="shared" si="19"/>
        <v>172420000</v>
      </c>
      <c r="K66" s="1456">
        <f t="shared" si="20"/>
        <v>172420</v>
      </c>
      <c r="L66" s="1456">
        <f t="shared" si="21"/>
        <v>17242000</v>
      </c>
      <c r="M66" s="1456">
        <f t="shared" si="22"/>
        <v>17242</v>
      </c>
      <c r="N66" s="1258">
        <f t="shared" si="23"/>
        <v>17242000000</v>
      </c>
      <c r="O66" s="1257">
        <v>1724200000</v>
      </c>
      <c r="P66" s="1456">
        <v>172420000</v>
      </c>
      <c r="Q66" s="1456">
        <v>172420</v>
      </c>
      <c r="R66" s="1456">
        <v>17242000</v>
      </c>
      <c r="S66" s="1456">
        <v>17242</v>
      </c>
      <c r="T66" s="1257">
        <v>17242000000</v>
      </c>
      <c r="U66" s="1367">
        <f t="shared" si="24"/>
        <v>0</v>
      </c>
      <c r="V66" s="1368">
        <f t="shared" si="25"/>
        <v>0</v>
      </c>
      <c r="W66" s="1368">
        <f t="shared" si="26"/>
        <v>0</v>
      </c>
      <c r="X66" s="1368">
        <f t="shared" si="27"/>
        <v>0</v>
      </c>
      <c r="Y66" s="1368">
        <f t="shared" si="28"/>
        <v>0</v>
      </c>
      <c r="Z66" s="1369">
        <f t="shared" si="29"/>
        <v>0</v>
      </c>
    </row>
    <row r="67" spans="3:26" ht="17.25" x14ac:dyDescent="0.25">
      <c r="C67" s="1268">
        <v>56</v>
      </c>
      <c r="D67" s="1269" t="s">
        <v>14</v>
      </c>
      <c r="E67" s="1254">
        <f>C67*60</f>
        <v>3360</v>
      </c>
      <c r="F67" s="1268">
        <v>12546</v>
      </c>
      <c r="G67" s="1269" t="s">
        <v>101</v>
      </c>
      <c r="H67" s="1270">
        <f>F67/3600</f>
        <v>3.4849999999999999</v>
      </c>
      <c r="I67" s="1435">
        <f t="shared" si="18"/>
        <v>1170960000</v>
      </c>
      <c r="J67" s="1446">
        <f t="shared" si="19"/>
        <v>117096000</v>
      </c>
      <c r="K67" s="1446">
        <f t="shared" si="20"/>
        <v>117096</v>
      </c>
      <c r="L67" s="1446">
        <f t="shared" si="21"/>
        <v>11709600</v>
      </c>
      <c r="M67" s="1446">
        <f t="shared" si="22"/>
        <v>11709.6</v>
      </c>
      <c r="N67" s="1270">
        <f t="shared" si="23"/>
        <v>11709600000</v>
      </c>
      <c r="O67" s="1254">
        <v>1170960000</v>
      </c>
      <c r="P67" s="1446">
        <v>117096000</v>
      </c>
      <c r="Q67" s="1446">
        <v>117096</v>
      </c>
      <c r="R67" s="1446">
        <v>11709600</v>
      </c>
      <c r="S67" s="1446">
        <v>11709.6</v>
      </c>
      <c r="T67" s="1254">
        <v>11709600000</v>
      </c>
      <c r="U67" s="1277">
        <f t="shared" si="24"/>
        <v>0</v>
      </c>
      <c r="V67" s="1278">
        <f t="shared" si="25"/>
        <v>0</v>
      </c>
      <c r="W67" s="1278">
        <f t="shared" si="26"/>
        <v>0</v>
      </c>
      <c r="X67" s="1278">
        <f t="shared" si="27"/>
        <v>0</v>
      </c>
      <c r="Y67" s="1278">
        <f t="shared" si="28"/>
        <v>0</v>
      </c>
      <c r="Z67" s="1279">
        <f t="shared" si="29"/>
        <v>0</v>
      </c>
    </row>
    <row r="68" spans="3:26" ht="18" thickBot="1" x14ac:dyDescent="0.3">
      <c r="C68" s="1286">
        <v>456</v>
      </c>
      <c r="D68" s="1287" t="s">
        <v>15</v>
      </c>
      <c r="E68" s="1309">
        <f>C68</f>
        <v>456</v>
      </c>
      <c r="F68" s="1286">
        <v>8964</v>
      </c>
      <c r="G68" s="1287" t="s">
        <v>101</v>
      </c>
      <c r="H68" s="1289">
        <f>F68/3600</f>
        <v>2.4900000000000002</v>
      </c>
      <c r="I68" s="1465">
        <f t="shared" si="18"/>
        <v>113544000</v>
      </c>
      <c r="J68" s="1466">
        <f t="shared" si="19"/>
        <v>11354400</v>
      </c>
      <c r="K68" s="1466">
        <f t="shared" si="20"/>
        <v>11354.400000000001</v>
      </c>
      <c r="L68" s="1466">
        <f t="shared" si="21"/>
        <v>1135440</v>
      </c>
      <c r="M68" s="1466">
        <f t="shared" si="22"/>
        <v>1135.44</v>
      </c>
      <c r="N68" s="1289">
        <f t="shared" si="23"/>
        <v>1135440000</v>
      </c>
      <c r="O68" s="1309">
        <v>113544000</v>
      </c>
      <c r="P68" s="1466">
        <v>11354400</v>
      </c>
      <c r="Q68" s="1466">
        <v>11354.4</v>
      </c>
      <c r="R68" s="1466">
        <v>1135440</v>
      </c>
      <c r="S68" s="1466">
        <v>1135.44</v>
      </c>
      <c r="T68" s="1309">
        <v>1135440000</v>
      </c>
      <c r="U68" s="1367">
        <f t="shared" si="24"/>
        <v>0</v>
      </c>
      <c r="V68" s="1368">
        <f t="shared" si="25"/>
        <v>0</v>
      </c>
      <c r="W68" s="1368">
        <f t="shared" si="26"/>
        <v>1.6020127911169735E-16</v>
      </c>
      <c r="X68" s="1368">
        <f t="shared" si="27"/>
        <v>0</v>
      </c>
      <c r="Y68" s="1368">
        <f t="shared" si="28"/>
        <v>0</v>
      </c>
      <c r="Z68" s="1369">
        <f t="shared" si="29"/>
        <v>0</v>
      </c>
    </row>
    <row r="69" spans="3:26" ht="18" thickTop="1" x14ac:dyDescent="0.25">
      <c r="C69" s="128">
        <v>789</v>
      </c>
      <c r="D69" s="146" t="s">
        <v>13</v>
      </c>
      <c r="E69" s="147">
        <f>C69*3600</f>
        <v>2840400</v>
      </c>
      <c r="F69" s="128">
        <v>245</v>
      </c>
      <c r="G69" s="146" t="s">
        <v>102</v>
      </c>
      <c r="H69" s="115">
        <f>F69/60</f>
        <v>4.083333333333333</v>
      </c>
      <c r="I69" s="311">
        <f t="shared" si="18"/>
        <v>1159830000000</v>
      </c>
      <c r="J69" s="116">
        <f t="shared" si="19"/>
        <v>115983000000</v>
      </c>
      <c r="K69" s="116">
        <f t="shared" si="20"/>
        <v>115983000</v>
      </c>
      <c r="L69" s="116">
        <f t="shared" si="21"/>
        <v>11598300000</v>
      </c>
      <c r="M69" s="116">
        <f t="shared" si="22"/>
        <v>11598300</v>
      </c>
      <c r="N69" s="115">
        <f t="shared" si="23"/>
        <v>11598300000000</v>
      </c>
      <c r="O69" s="147">
        <v>1159830000000</v>
      </c>
      <c r="P69" s="116">
        <v>115983000000</v>
      </c>
      <c r="Q69" s="116">
        <v>115983000</v>
      </c>
      <c r="R69" s="116">
        <v>11598300000</v>
      </c>
      <c r="S69" s="116">
        <v>11598300</v>
      </c>
      <c r="T69" s="147">
        <v>11598300000000</v>
      </c>
      <c r="U69" s="283">
        <f t="shared" si="24"/>
        <v>0</v>
      </c>
      <c r="V69" s="315">
        <f t="shared" si="25"/>
        <v>0</v>
      </c>
      <c r="W69" s="315">
        <f t="shared" si="26"/>
        <v>0</v>
      </c>
      <c r="X69" s="315">
        <f t="shared" si="27"/>
        <v>0</v>
      </c>
      <c r="Y69" s="315">
        <f t="shared" si="28"/>
        <v>0</v>
      </c>
      <c r="Z69" s="343">
        <f t="shared" si="29"/>
        <v>0</v>
      </c>
    </row>
    <row r="70" spans="3:26" ht="17.25" x14ac:dyDescent="0.25">
      <c r="C70" s="72">
        <v>654</v>
      </c>
      <c r="D70" s="62" t="s">
        <v>14</v>
      </c>
      <c r="E70" s="34">
        <f>C70*60</f>
        <v>39240</v>
      </c>
      <c r="F70" s="72">
        <v>1256</v>
      </c>
      <c r="G70" s="62" t="s">
        <v>102</v>
      </c>
      <c r="H70" s="35">
        <f>F70/60</f>
        <v>20.933333333333334</v>
      </c>
      <c r="I70" s="310">
        <f t="shared" si="18"/>
        <v>82142400000</v>
      </c>
      <c r="J70" s="117">
        <f t="shared" si="19"/>
        <v>8214240000</v>
      </c>
      <c r="K70" s="117">
        <f t="shared" si="20"/>
        <v>8214240</v>
      </c>
      <c r="L70" s="117">
        <f t="shared" si="21"/>
        <v>821424000</v>
      </c>
      <c r="M70" s="117">
        <f t="shared" si="22"/>
        <v>821424</v>
      </c>
      <c r="N70" s="35">
        <f t="shared" si="23"/>
        <v>821424000000</v>
      </c>
      <c r="O70" s="34">
        <v>82142400000</v>
      </c>
      <c r="P70" s="117">
        <v>8214240000</v>
      </c>
      <c r="Q70" s="117">
        <v>8214240</v>
      </c>
      <c r="R70" s="117">
        <v>821424000</v>
      </c>
      <c r="S70" s="117">
        <v>821424</v>
      </c>
      <c r="T70" s="34">
        <v>821424000000</v>
      </c>
      <c r="U70" s="155">
        <f t="shared" si="24"/>
        <v>0</v>
      </c>
      <c r="V70" s="156">
        <f t="shared" si="25"/>
        <v>0</v>
      </c>
      <c r="W70" s="156">
        <f t="shared" si="26"/>
        <v>0</v>
      </c>
      <c r="X70" s="156">
        <f t="shared" si="27"/>
        <v>0</v>
      </c>
      <c r="Y70" s="156">
        <f t="shared" si="28"/>
        <v>0</v>
      </c>
      <c r="Z70" s="157">
        <f t="shared" si="29"/>
        <v>0</v>
      </c>
    </row>
    <row r="71" spans="3:26" ht="18" thickBot="1" x14ac:dyDescent="0.3">
      <c r="C71" s="106">
        <v>13</v>
      </c>
      <c r="D71" s="63" t="s">
        <v>15</v>
      </c>
      <c r="E71" s="39">
        <f>C71</f>
        <v>13</v>
      </c>
      <c r="F71" s="106">
        <v>2548</v>
      </c>
      <c r="G71" s="63" t="s">
        <v>102</v>
      </c>
      <c r="H71" s="40">
        <f>F71/60</f>
        <v>42.466666666666669</v>
      </c>
      <c r="I71" s="312">
        <f t="shared" si="18"/>
        <v>55206666.666666672</v>
      </c>
      <c r="J71" s="118">
        <f t="shared" si="19"/>
        <v>5520666.666666667</v>
      </c>
      <c r="K71" s="118">
        <f t="shared" si="20"/>
        <v>5520.666666666667</v>
      </c>
      <c r="L71" s="118">
        <f t="shared" si="21"/>
        <v>552066.66666666674</v>
      </c>
      <c r="M71" s="118">
        <f t="shared" si="22"/>
        <v>552.06666666666672</v>
      </c>
      <c r="N71" s="40">
        <f t="shared" si="23"/>
        <v>552066666.66666675</v>
      </c>
      <c r="O71" s="39">
        <v>55206667</v>
      </c>
      <c r="P71" s="118">
        <v>5520667</v>
      </c>
      <c r="Q71" s="118">
        <v>5520.67</v>
      </c>
      <c r="R71" s="118">
        <v>552067</v>
      </c>
      <c r="S71" s="118">
        <v>552.06700000000001</v>
      </c>
      <c r="T71" s="39">
        <v>552066667</v>
      </c>
      <c r="U71" s="196">
        <f t="shared" si="24"/>
        <v>-6.037918035858222E-9</v>
      </c>
      <c r="V71" s="197">
        <f t="shared" si="25"/>
        <v>-6.0379181202069645E-8</v>
      </c>
      <c r="W71" s="197">
        <f t="shared" si="26"/>
        <v>-6.0379181254128634E-7</v>
      </c>
      <c r="X71" s="197">
        <f t="shared" si="27"/>
        <v>-6.0379181244244003E-7</v>
      </c>
      <c r="Y71" s="197">
        <f t="shared" si="28"/>
        <v>-6.0379181250010031E-7</v>
      </c>
      <c r="Z71" s="198">
        <f t="shared" si="29"/>
        <v>-6.037916686278353E-10</v>
      </c>
    </row>
    <row r="72" spans="3:26" ht="18" thickTop="1" x14ac:dyDescent="0.25">
      <c r="C72" s="203">
        <v>46</v>
      </c>
      <c r="D72" s="204" t="s">
        <v>13</v>
      </c>
      <c r="E72" s="205">
        <f>C72*3600</f>
        <v>165600</v>
      </c>
      <c r="F72" s="203">
        <v>985</v>
      </c>
      <c r="G72" s="204" t="s">
        <v>103</v>
      </c>
      <c r="H72" s="688">
        <f>F72</f>
        <v>985</v>
      </c>
      <c r="I72" s="414">
        <f t="shared" si="18"/>
        <v>16311600000000</v>
      </c>
      <c r="J72" s="415">
        <f t="shared" si="19"/>
        <v>1631160000000</v>
      </c>
      <c r="K72" s="415">
        <f t="shared" si="20"/>
        <v>1631160000</v>
      </c>
      <c r="L72" s="415">
        <f t="shared" si="21"/>
        <v>163116000000</v>
      </c>
      <c r="M72" s="415">
        <f t="shared" si="22"/>
        <v>163116000</v>
      </c>
      <c r="N72" s="206">
        <f t="shared" si="23"/>
        <v>163116000000000</v>
      </c>
      <c r="O72" s="205">
        <v>16311600000000</v>
      </c>
      <c r="P72" s="415">
        <v>1631160000000</v>
      </c>
      <c r="Q72" s="415">
        <v>1631160000</v>
      </c>
      <c r="R72" s="415">
        <v>163116000000</v>
      </c>
      <c r="S72" s="415">
        <v>163116000</v>
      </c>
      <c r="T72" s="205">
        <v>163116000000000</v>
      </c>
      <c r="U72" s="757">
        <f t="shared" si="24"/>
        <v>0</v>
      </c>
      <c r="V72" s="749">
        <f t="shared" si="25"/>
        <v>0</v>
      </c>
      <c r="W72" s="749">
        <f t="shared" si="26"/>
        <v>0</v>
      </c>
      <c r="X72" s="749">
        <f t="shared" si="27"/>
        <v>0</v>
      </c>
      <c r="Y72" s="749">
        <f t="shared" si="28"/>
        <v>0</v>
      </c>
      <c r="Z72" s="758">
        <f t="shared" si="29"/>
        <v>0</v>
      </c>
    </row>
    <row r="73" spans="3:26" ht="17.25" x14ac:dyDescent="0.25">
      <c r="C73" s="213">
        <v>987</v>
      </c>
      <c r="D73" s="214" t="s">
        <v>14</v>
      </c>
      <c r="E73" s="215">
        <f>C73*60</f>
        <v>59220</v>
      </c>
      <c r="F73" s="213">
        <v>78</v>
      </c>
      <c r="G73" s="214" t="s">
        <v>103</v>
      </c>
      <c r="H73" s="431">
        <f>F73</f>
        <v>78</v>
      </c>
      <c r="I73" s="412">
        <f t="shared" si="18"/>
        <v>461916000000</v>
      </c>
      <c r="J73" s="274">
        <f t="shared" si="19"/>
        <v>46191600000</v>
      </c>
      <c r="K73" s="274">
        <f t="shared" si="20"/>
        <v>46191600</v>
      </c>
      <c r="L73" s="274">
        <f t="shared" si="21"/>
        <v>4619160000</v>
      </c>
      <c r="M73" s="274">
        <f t="shared" si="22"/>
        <v>4619160</v>
      </c>
      <c r="N73" s="216">
        <f t="shared" si="23"/>
        <v>4619160000000</v>
      </c>
      <c r="O73" s="215">
        <v>461916000000</v>
      </c>
      <c r="P73" s="274">
        <v>46191600000</v>
      </c>
      <c r="Q73" s="274">
        <v>46191600</v>
      </c>
      <c r="R73" s="274">
        <v>4619160000</v>
      </c>
      <c r="S73" s="274">
        <v>4619160</v>
      </c>
      <c r="T73" s="215">
        <v>4619160000000</v>
      </c>
      <c r="U73" s="221">
        <f t="shared" si="24"/>
        <v>0</v>
      </c>
      <c r="V73" s="222">
        <f t="shared" si="25"/>
        <v>0</v>
      </c>
      <c r="W73" s="222">
        <f t="shared" si="26"/>
        <v>0</v>
      </c>
      <c r="X73" s="222">
        <f t="shared" si="27"/>
        <v>0</v>
      </c>
      <c r="Y73" s="222">
        <f t="shared" si="28"/>
        <v>0</v>
      </c>
      <c r="Z73" s="223">
        <f t="shared" si="29"/>
        <v>0</v>
      </c>
    </row>
    <row r="74" spans="3:26" ht="18" thickBot="1" x14ac:dyDescent="0.3">
      <c r="C74" s="413">
        <v>300</v>
      </c>
      <c r="D74" s="398" t="s">
        <v>15</v>
      </c>
      <c r="E74" s="399">
        <f>C74</f>
        <v>300</v>
      </c>
      <c r="F74" s="413">
        <v>763</v>
      </c>
      <c r="G74" s="398" t="s">
        <v>103</v>
      </c>
      <c r="H74" s="432">
        <f>F74</f>
        <v>763</v>
      </c>
      <c r="I74" s="397">
        <f t="shared" si="18"/>
        <v>22890000000</v>
      </c>
      <c r="J74" s="428">
        <f t="shared" si="19"/>
        <v>2289000000</v>
      </c>
      <c r="K74" s="428">
        <f t="shared" si="20"/>
        <v>2289000</v>
      </c>
      <c r="L74" s="428">
        <f t="shared" si="21"/>
        <v>228900000</v>
      </c>
      <c r="M74" s="428">
        <f t="shared" si="22"/>
        <v>228900</v>
      </c>
      <c r="N74" s="410">
        <f t="shared" si="23"/>
        <v>228900000000</v>
      </c>
      <c r="O74" s="399">
        <v>22890000000</v>
      </c>
      <c r="P74" s="428">
        <v>2289000000</v>
      </c>
      <c r="Q74" s="428">
        <v>2289000</v>
      </c>
      <c r="R74" s="428">
        <v>228900000</v>
      </c>
      <c r="S74" s="428">
        <v>228900</v>
      </c>
      <c r="T74" s="399">
        <v>228900000000</v>
      </c>
      <c r="U74" s="234">
        <f t="shared" si="24"/>
        <v>0</v>
      </c>
      <c r="V74" s="235">
        <f t="shared" si="25"/>
        <v>0</v>
      </c>
      <c r="W74" s="235">
        <f t="shared" si="26"/>
        <v>0</v>
      </c>
      <c r="X74" s="235">
        <f t="shared" si="27"/>
        <v>0</v>
      </c>
      <c r="Y74" s="235">
        <f t="shared" si="28"/>
        <v>0</v>
      </c>
      <c r="Z74" s="236">
        <f t="shared" si="29"/>
        <v>0</v>
      </c>
    </row>
    <row r="75" spans="3:26" ht="15.75" thickTop="1" x14ac:dyDescent="0.25"/>
  </sheetData>
  <mergeCells count="31">
    <mergeCell ref="U60:Z60"/>
    <mergeCell ref="I61:N61"/>
    <mergeCell ref="O61:T61"/>
    <mergeCell ref="U61:Z61"/>
    <mergeCell ref="C60:H60"/>
    <mergeCell ref="C61:E61"/>
    <mergeCell ref="F61:H61"/>
    <mergeCell ref="I60:N60"/>
    <mergeCell ref="O60:T60"/>
    <mergeCell ref="C2:J2"/>
    <mergeCell ref="C4:E4"/>
    <mergeCell ref="H4:I4"/>
    <mergeCell ref="C8:H8"/>
    <mergeCell ref="C9:E9"/>
    <mergeCell ref="F9:H9"/>
    <mergeCell ref="I8:L8"/>
    <mergeCell ref="E6:G6"/>
    <mergeCell ref="M8:P8"/>
    <mergeCell ref="Q8:T8"/>
    <mergeCell ref="I9:L9"/>
    <mergeCell ref="M9:P9"/>
    <mergeCell ref="Q9:T9"/>
    <mergeCell ref="O31:Q31"/>
    <mergeCell ref="I32:K32"/>
    <mergeCell ref="L32:N32"/>
    <mergeCell ref="O32:Q32"/>
    <mergeCell ref="C31:H31"/>
    <mergeCell ref="C32:E32"/>
    <mergeCell ref="F32:H32"/>
    <mergeCell ref="I31:K31"/>
    <mergeCell ref="L31:N31"/>
  </mergeCells>
  <conditionalFormatting sqref="Q11:T28 O34:Q57 U63:Z74">
    <cfRule type="cellIs" dxfId="9" priority="1" operator="notBetween">
      <formula>-0.001</formula>
      <formula>0.001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18</vt:i4>
      </vt:variant>
    </vt:vector>
  </HeadingPairs>
  <TitlesOfParts>
    <vt:vector size="18" baseType="lpstr">
      <vt:lpstr>Energie elektrická</vt:lpstr>
      <vt:lpstr>Energie kinetická</vt:lpstr>
      <vt:lpstr>Energie potenciální - polohová</vt:lpstr>
      <vt:lpstr>Energie potenciální - pružnost</vt:lpstr>
      <vt:lpstr>Energie potenciální - tlaková</vt:lpstr>
      <vt:lpstr>Hustota</vt:lpstr>
      <vt:lpstr>Moment síly</vt:lpstr>
      <vt:lpstr>Ohmův zákon</vt:lpstr>
      <vt:lpstr>Průtok (z objemu a času)</vt:lpstr>
      <vt:lpstr>Průtok (z plochy a rychlosti)</vt:lpstr>
      <vt:lpstr>Rychlost (přímočarý pohyb)</vt:lpstr>
      <vt:lpstr>Rychlost obvodová</vt:lpstr>
      <vt:lpstr>Síla</vt:lpstr>
      <vt:lpstr>Síla gravitační</vt:lpstr>
      <vt:lpstr>Tlak</vt:lpstr>
      <vt:lpstr>Výkon elektrický (stejnosměrný)</vt:lpstr>
      <vt:lpstr>Výkon mech. (přímočarý pohyb)</vt:lpstr>
      <vt:lpstr>Výkon mechanický (rotace)</vt:lpstr>
    </vt:vector>
  </TitlesOfParts>
  <Company>Doma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Hošek</dc:creator>
  <cp:lastModifiedBy>Josef Spilka</cp:lastModifiedBy>
  <dcterms:created xsi:type="dcterms:W3CDTF">2012-02-13T15:18:26Z</dcterms:created>
  <dcterms:modified xsi:type="dcterms:W3CDTF">2012-03-09T12:38:01Z</dcterms:modified>
</cp:coreProperties>
</file>